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yeses\Desktop\"/>
    </mc:Choice>
  </mc:AlternateContent>
  <workbookProtection workbookAlgorithmName="SHA-512" workbookHashValue="QJ92XuEuj1/UMUKQvhNvuiswFe14SkI09+C9AXTL7O7g6QvwnawB/rMJVeayZY7kcvgLvIEbN2x1D+V6H1NwCQ==" workbookSaltValue="oHsKisdIMssdgxeuBfbb5w==" workbookSpinCount="100000" lockStructure="1"/>
  <bookViews>
    <workbookView xWindow="0" yWindow="0" windowWidth="28800" windowHeight="12300"/>
  </bookViews>
  <sheets>
    <sheet name="ITS Maintenance" sheetId="1" r:id="rId1"/>
    <sheet name="Rates" sheetId="2" state="hidden" r:id="rId2"/>
  </sheets>
  <externalReferences>
    <externalReference r:id="rId3"/>
  </externalReferences>
  <definedNames>
    <definedName name="_xlnm.Print_Area" localSheetId="0">'ITS Maintenance'!$B$2:$AA$272</definedName>
    <definedName name="_xlnm.Print_Titles" localSheetId="0">'ITS Maintenance'!$2:$4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 l="1"/>
  <c r="F264" i="1" l="1"/>
  <c r="I264" i="1" s="1"/>
  <c r="K265" i="1"/>
  <c r="S264" i="1" l="1"/>
  <c r="O264" i="1"/>
  <c r="W264" i="1"/>
  <c r="K264" i="1"/>
  <c r="Q264" i="1"/>
  <c r="M264" i="1"/>
  <c r="U264" i="1"/>
  <c r="W265" i="1" l="1"/>
  <c r="U265" i="1"/>
  <c r="S265" i="1"/>
  <c r="Q265" i="1"/>
  <c r="O265" i="1"/>
  <c r="M265" i="1"/>
  <c r="I265" i="1"/>
  <c r="H269" i="1" s="1"/>
  <c r="F239" i="1" l="1"/>
  <c r="F238" i="1"/>
  <c r="F237" i="1"/>
  <c r="F236" i="1"/>
  <c r="F234" i="1"/>
  <c r="F235" i="1"/>
  <c r="F228" i="1"/>
  <c r="F214" i="1"/>
  <c r="N73" i="2"/>
  <c r="N74" i="2" s="1"/>
  <c r="M234" i="1" l="1"/>
  <c r="M236" i="1"/>
  <c r="K234" i="1"/>
  <c r="Q238" i="1"/>
  <c r="O238" i="1"/>
  <c r="S238" i="1"/>
  <c r="W238" i="1"/>
  <c r="U238" i="1"/>
  <c r="K236" i="1"/>
  <c r="U234" i="1"/>
  <c r="W234" i="1"/>
  <c r="S234" i="1"/>
  <c r="Q234" i="1"/>
  <c r="O234" i="1"/>
  <c r="K238" i="1"/>
  <c r="S236" i="1"/>
  <c r="U236" i="1"/>
  <c r="Q236" i="1"/>
  <c r="W236" i="1"/>
  <c r="O236" i="1"/>
  <c r="M238" i="1"/>
  <c r="F263" i="1"/>
  <c r="F262" i="1"/>
  <c r="F261" i="1"/>
  <c r="F260" i="1"/>
  <c r="F259" i="1"/>
  <c r="F258" i="1"/>
  <c r="F257" i="1"/>
  <c r="F256" i="1"/>
  <c r="F255" i="1"/>
  <c r="F254" i="1"/>
  <c r="F253" i="1"/>
  <c r="F252" i="1"/>
  <c r="F251" i="1"/>
  <c r="F250" i="1"/>
  <c r="F249" i="1"/>
  <c r="F248" i="1"/>
  <c r="F247" i="1"/>
  <c r="F246" i="1"/>
  <c r="F245" i="1"/>
  <c r="F244" i="1"/>
  <c r="F243" i="1"/>
  <c r="F242" i="1"/>
  <c r="F241" i="1"/>
  <c r="F240" i="1"/>
  <c r="F233" i="1"/>
  <c r="F232" i="1"/>
  <c r="F231" i="1"/>
  <c r="F230" i="1"/>
  <c r="F229" i="1"/>
  <c r="Q228" i="1" s="1"/>
  <c r="F215" i="1"/>
  <c r="F213" i="1"/>
  <c r="F118" i="1"/>
  <c r="F117" i="1"/>
  <c r="F116" i="1"/>
  <c r="F115" i="1"/>
  <c r="F114" i="1"/>
  <c r="F113" i="1"/>
  <c r="K228" i="1" l="1"/>
  <c r="U242" i="1"/>
  <c r="O242" i="1"/>
  <c r="S242" i="1"/>
  <c r="Q242" i="1"/>
  <c r="W242" i="1"/>
  <c r="M242" i="1"/>
  <c r="K242" i="1"/>
  <c r="Q262" i="1"/>
  <c r="W262" i="1"/>
  <c r="O262" i="1"/>
  <c r="U262" i="1"/>
  <c r="S262" i="1"/>
  <c r="M262" i="1"/>
  <c r="K262" i="1"/>
  <c r="O228" i="1"/>
  <c r="M228" i="1"/>
  <c r="W228" i="1"/>
  <c r="W232" i="1"/>
  <c r="O232" i="1"/>
  <c r="U232" i="1"/>
  <c r="S232" i="1"/>
  <c r="Q232" i="1"/>
  <c r="K232" i="1"/>
  <c r="M232" i="1"/>
  <c r="Q246" i="1"/>
  <c r="W246" i="1"/>
  <c r="O246" i="1"/>
  <c r="U246" i="1"/>
  <c r="S246" i="1"/>
  <c r="M246" i="1"/>
  <c r="K246" i="1"/>
  <c r="U250" i="1"/>
  <c r="W250" i="1"/>
  <c r="S250" i="1"/>
  <c r="Q250" i="1"/>
  <c r="O250" i="1"/>
  <c r="M250" i="1"/>
  <c r="K250" i="1"/>
  <c r="Q254" i="1"/>
  <c r="S254" i="1"/>
  <c r="W254" i="1"/>
  <c r="O254" i="1"/>
  <c r="U254" i="1"/>
  <c r="M254" i="1"/>
  <c r="K254" i="1"/>
  <c r="U258" i="1"/>
  <c r="O258" i="1"/>
  <c r="S258" i="1"/>
  <c r="Q258" i="1"/>
  <c r="W258" i="1"/>
  <c r="M258" i="1"/>
  <c r="K258" i="1"/>
  <c r="Q230" i="1"/>
  <c r="O230" i="1"/>
  <c r="W230" i="1"/>
  <c r="U230" i="1"/>
  <c r="S230" i="1"/>
  <c r="M230" i="1"/>
  <c r="K230" i="1"/>
  <c r="W240" i="1"/>
  <c r="O240" i="1"/>
  <c r="Q240" i="1"/>
  <c r="U240" i="1"/>
  <c r="S240" i="1"/>
  <c r="K240" i="1"/>
  <c r="M240" i="1"/>
  <c r="S244" i="1"/>
  <c r="Q244" i="1"/>
  <c r="W244" i="1"/>
  <c r="O244" i="1"/>
  <c r="U244" i="1"/>
  <c r="M244" i="1"/>
  <c r="K244" i="1"/>
  <c r="W248" i="1"/>
  <c r="O248" i="1"/>
  <c r="U248" i="1"/>
  <c r="S248" i="1"/>
  <c r="Q248" i="1"/>
  <c r="K248" i="1"/>
  <c r="M248" i="1"/>
  <c r="S252" i="1"/>
  <c r="W252" i="1"/>
  <c r="U252" i="1"/>
  <c r="Q252" i="1"/>
  <c r="O252" i="1"/>
  <c r="M252" i="1"/>
  <c r="K252" i="1"/>
  <c r="W256" i="1"/>
  <c r="O256" i="1"/>
  <c r="Q256" i="1"/>
  <c r="U256" i="1"/>
  <c r="S256" i="1"/>
  <c r="K256" i="1"/>
  <c r="M256" i="1"/>
  <c r="S260" i="1"/>
  <c r="W260" i="1"/>
  <c r="Q260" i="1"/>
  <c r="O260" i="1"/>
  <c r="U260" i="1"/>
  <c r="M260" i="1"/>
  <c r="K260" i="1"/>
  <c r="S228" i="1"/>
  <c r="U228" i="1"/>
  <c r="W215" i="1"/>
  <c r="S215" i="1"/>
  <c r="O215" i="1"/>
  <c r="K215" i="1"/>
  <c r="S213" i="1"/>
  <c r="K213" i="1"/>
  <c r="W214" i="1"/>
  <c r="S214" i="1"/>
  <c r="O214" i="1"/>
  <c r="K214" i="1"/>
  <c r="Q213" i="1"/>
  <c r="U215" i="1"/>
  <c r="Q215" i="1"/>
  <c r="M215" i="1"/>
  <c r="W213" i="1"/>
  <c r="O213" i="1"/>
  <c r="U214" i="1"/>
  <c r="Q214" i="1"/>
  <c r="M214" i="1"/>
  <c r="U213" i="1"/>
  <c r="M213" i="1"/>
  <c r="AA230" i="1"/>
  <c r="U115" i="1"/>
  <c r="Q115" i="1"/>
  <c r="M115" i="1"/>
  <c r="S115" i="1"/>
  <c r="K115" i="1"/>
  <c r="W115" i="1"/>
  <c r="O115" i="1"/>
  <c r="W113" i="1"/>
  <c r="O113" i="1"/>
  <c r="U113" i="1"/>
  <c r="M113" i="1"/>
  <c r="S113" i="1"/>
  <c r="Q113" i="1"/>
  <c r="K113" i="1"/>
  <c r="U117" i="1"/>
  <c r="Q117" i="1"/>
  <c r="M117" i="1"/>
  <c r="W117" i="1"/>
  <c r="O117" i="1"/>
  <c r="S117" i="1"/>
  <c r="K117" i="1"/>
  <c r="Y232" i="1"/>
  <c r="Y256" i="1"/>
  <c r="AA256" i="1"/>
  <c r="AA262" i="1"/>
  <c r="I262" i="1"/>
  <c r="Y262" i="1"/>
  <c r="Y250" i="1"/>
  <c r="I260" i="1"/>
  <c r="Y260" i="1"/>
  <c r="AA260" i="1"/>
  <c r="I250" i="1"/>
  <c r="I256" i="1"/>
  <c r="I254" i="1"/>
  <c r="Y254" i="1"/>
  <c r="AA250" i="1"/>
  <c r="AA254" i="1"/>
  <c r="AA248" i="1"/>
  <c r="I248" i="1"/>
  <c r="Y248" i="1"/>
  <c r="I244" i="1"/>
  <c r="Y244" i="1"/>
  <c r="AA236" i="1"/>
  <c r="AA244" i="1"/>
  <c r="I242" i="1"/>
  <c r="Y242" i="1"/>
  <c r="AA242" i="1"/>
  <c r="AA232" i="1"/>
  <c r="I238" i="1"/>
  <c r="Y238" i="1"/>
  <c r="AA238" i="1"/>
  <c r="I232" i="1"/>
  <c r="I236" i="1"/>
  <c r="Y236" i="1"/>
  <c r="I230" i="1"/>
  <c r="Y230" i="1"/>
  <c r="AA117" i="1"/>
  <c r="I117" i="1"/>
  <c r="Y117" i="1"/>
  <c r="Y115" i="1"/>
  <c r="AA115" i="1"/>
  <c r="I115" i="1"/>
  <c r="AA265" i="1" l="1"/>
  <c r="Y265" i="1"/>
  <c r="F226" i="1"/>
  <c r="F224" i="1" l="1"/>
  <c r="S224" i="1" s="1"/>
  <c r="F220" i="1"/>
  <c r="F129" i="1"/>
  <c r="F218" i="1"/>
  <c r="AA218" i="1" s="1"/>
  <c r="AA224" i="1"/>
  <c r="F50" i="1"/>
  <c r="F49" i="1"/>
  <c r="F48" i="1"/>
  <c r="F51" i="1"/>
  <c r="F52" i="1"/>
  <c r="F216" i="1"/>
  <c r="F222" i="1"/>
  <c r="F212" i="1"/>
  <c r="F207" i="1"/>
  <c r="F202" i="1"/>
  <c r="F196" i="1"/>
  <c r="F190" i="1"/>
  <c r="F185" i="1"/>
  <c r="F206" i="1"/>
  <c r="F193" i="1"/>
  <c r="F184" i="1"/>
  <c r="F210" i="1"/>
  <c r="F198" i="1"/>
  <c r="F187" i="1"/>
  <c r="F208" i="1"/>
  <c r="F203" i="1"/>
  <c r="F197" i="1"/>
  <c r="F191" i="1"/>
  <c r="F186" i="1"/>
  <c r="F211" i="1"/>
  <c r="F199" i="1"/>
  <c r="F178" i="1"/>
  <c r="F204" i="1"/>
  <c r="F192" i="1"/>
  <c r="F200" i="1"/>
  <c r="F180" i="1"/>
  <c r="F173" i="1"/>
  <c r="F167" i="1"/>
  <c r="F161" i="1"/>
  <c r="F155" i="1"/>
  <c r="F150" i="1"/>
  <c r="F144" i="1"/>
  <c r="F135" i="1"/>
  <c r="F138" i="1"/>
  <c r="F126" i="1"/>
  <c r="F120" i="1"/>
  <c r="F110" i="1"/>
  <c r="F104" i="1"/>
  <c r="F176" i="1"/>
  <c r="F148" i="1"/>
  <c r="F124" i="1"/>
  <c r="F98" i="1"/>
  <c r="F93" i="1"/>
  <c r="F94" i="1"/>
  <c r="F84" i="1"/>
  <c r="F79" i="1"/>
  <c r="F74" i="1"/>
  <c r="F69" i="1"/>
  <c r="F70" i="1"/>
  <c r="F60" i="1"/>
  <c r="F55" i="1"/>
  <c r="F44" i="1"/>
  <c r="F39" i="1"/>
  <c r="F40" i="1"/>
  <c r="F30" i="1"/>
  <c r="F25" i="1"/>
  <c r="F20" i="1"/>
  <c r="F15" i="1"/>
  <c r="F9" i="1"/>
  <c r="F6" i="1"/>
  <c r="F179" i="1"/>
  <c r="F172" i="1"/>
  <c r="F166" i="1"/>
  <c r="F160" i="1"/>
  <c r="F154" i="1"/>
  <c r="F147" i="1"/>
  <c r="F141" i="1"/>
  <c r="F134" i="1"/>
  <c r="F123" i="1"/>
  <c r="F109" i="1"/>
  <c r="F103" i="1"/>
  <c r="F170" i="1"/>
  <c r="F142" i="1"/>
  <c r="F112" i="1"/>
  <c r="F97" i="1"/>
  <c r="F92" i="1"/>
  <c r="F87" i="1"/>
  <c r="F88" i="1"/>
  <c r="F78" i="1"/>
  <c r="F73" i="1"/>
  <c r="F68" i="1"/>
  <c r="F188" i="1"/>
  <c r="F175" i="1"/>
  <c r="F169" i="1"/>
  <c r="F163" i="1"/>
  <c r="F157" i="1"/>
  <c r="F152" i="1"/>
  <c r="F146" i="1"/>
  <c r="F140" i="1"/>
  <c r="F133" i="1"/>
  <c r="F128" i="1"/>
  <c r="F122" i="1"/>
  <c r="F108" i="1"/>
  <c r="F102" i="1"/>
  <c r="F164" i="1"/>
  <c r="F136" i="1"/>
  <c r="F106" i="1"/>
  <c r="F96" i="1"/>
  <c r="F91" i="1"/>
  <c r="F86" i="1"/>
  <c r="F81" i="1"/>
  <c r="F82" i="1"/>
  <c r="F72" i="1"/>
  <c r="F67" i="1"/>
  <c r="F62" i="1"/>
  <c r="F57" i="1"/>
  <c r="F58" i="1"/>
  <c r="F42" i="1"/>
  <c r="F37" i="1"/>
  <c r="F32" i="1"/>
  <c r="F27" i="1"/>
  <c r="F28" i="1"/>
  <c r="F18" i="1"/>
  <c r="F13" i="1"/>
  <c r="F7" i="1"/>
  <c r="F194" i="1"/>
  <c r="F181" i="1"/>
  <c r="F174" i="1"/>
  <c r="F168" i="1"/>
  <c r="F162" i="1"/>
  <c r="F156" i="1"/>
  <c r="F151" i="1"/>
  <c r="F145" i="1"/>
  <c r="F139" i="1"/>
  <c r="F132" i="1"/>
  <c r="F127" i="1"/>
  <c r="F121" i="1"/>
  <c r="F111" i="1"/>
  <c r="F105" i="1"/>
  <c r="F182" i="1"/>
  <c r="F158" i="1"/>
  <c r="F130" i="1"/>
  <c r="F99" i="1"/>
  <c r="F100" i="1"/>
  <c r="F90" i="1"/>
  <c r="F75" i="1"/>
  <c r="F61" i="1"/>
  <c r="F45" i="1"/>
  <c r="F36" i="1"/>
  <c r="F26" i="1"/>
  <c r="F22" i="1"/>
  <c r="F10" i="1"/>
  <c r="F76" i="1"/>
  <c r="F64" i="1"/>
  <c r="F43" i="1"/>
  <c r="F33" i="1"/>
  <c r="F24" i="1"/>
  <c r="F14" i="1"/>
  <c r="F85" i="1"/>
  <c r="F66" i="1"/>
  <c r="F56" i="1"/>
  <c r="F46" i="1"/>
  <c r="F31" i="1"/>
  <c r="F21" i="1"/>
  <c r="F12" i="1"/>
  <c r="F80" i="1"/>
  <c r="F63" i="1"/>
  <c r="F54" i="1"/>
  <c r="F38" i="1"/>
  <c r="F34" i="1"/>
  <c r="F19" i="1"/>
  <c r="F8" i="1"/>
  <c r="I113" i="1"/>
  <c r="I246" i="1"/>
  <c r="AA246" i="1"/>
  <c r="I258" i="1"/>
  <c r="Y228" i="1"/>
  <c r="I228" i="1"/>
  <c r="I240" i="1"/>
  <c r="I234" i="1"/>
  <c r="I252" i="1"/>
  <c r="AA113" i="1"/>
  <c r="Y113" i="1"/>
  <c r="AA234" i="1"/>
  <c r="AA258" i="1"/>
  <c r="AA228" i="1"/>
  <c r="Y252" i="1"/>
  <c r="Y246" i="1"/>
  <c r="AA252" i="1"/>
  <c r="Y240" i="1"/>
  <c r="F16" i="1"/>
  <c r="Y234" i="1"/>
  <c r="AA240" i="1"/>
  <c r="Y258" i="1"/>
  <c r="I224" i="1" l="1"/>
  <c r="Q224" i="1"/>
  <c r="M224" i="1"/>
  <c r="Y224" i="1"/>
  <c r="O224" i="1"/>
  <c r="K224" i="1"/>
  <c r="U224" i="1"/>
  <c r="W224" i="1"/>
  <c r="AA226" i="1"/>
  <c r="S226" i="1"/>
  <c r="K226" i="1"/>
  <c r="Y226" i="1"/>
  <c r="Q226" i="1"/>
  <c r="I226" i="1"/>
  <c r="W226" i="1"/>
  <c r="O226" i="1"/>
  <c r="U226" i="1"/>
  <c r="M226" i="1"/>
  <c r="W89" i="1"/>
  <c r="S89" i="1"/>
  <c r="U89" i="1"/>
  <c r="S71" i="1"/>
  <c r="U71" i="1"/>
  <c r="W71" i="1"/>
  <c r="U77" i="1"/>
  <c r="W77" i="1"/>
  <c r="S77" i="1"/>
  <c r="U159" i="1"/>
  <c r="W159" i="1"/>
  <c r="S159" i="1"/>
  <c r="W119" i="1"/>
  <c r="S119" i="1"/>
  <c r="U119" i="1"/>
  <c r="W143" i="1"/>
  <c r="S143" i="1"/>
  <c r="U143" i="1"/>
  <c r="K209" i="1"/>
  <c r="J269" i="1" s="1"/>
  <c r="U209" i="1"/>
  <c r="T269" i="1" s="1"/>
  <c r="Q209" i="1"/>
  <c r="P269" i="1" s="1"/>
  <c r="M209" i="1"/>
  <c r="L269" i="1" s="1"/>
  <c r="I209" i="1"/>
  <c r="W209" i="1"/>
  <c r="V269" i="1" s="1"/>
  <c r="S209" i="1"/>
  <c r="O209" i="1"/>
  <c r="W216" i="1"/>
  <c r="O216" i="1"/>
  <c r="K216" i="1"/>
  <c r="U216" i="1"/>
  <c r="Q216" i="1"/>
  <c r="M216" i="1"/>
  <c r="S216" i="1"/>
  <c r="I216" i="1"/>
  <c r="U53" i="1"/>
  <c r="W53" i="1"/>
  <c r="S53" i="1"/>
  <c r="W65" i="1"/>
  <c r="S65" i="1"/>
  <c r="U65" i="1"/>
  <c r="S95" i="1"/>
  <c r="U95" i="1"/>
  <c r="W95" i="1"/>
  <c r="U101" i="1"/>
  <c r="W101" i="1"/>
  <c r="S101" i="1"/>
  <c r="W165" i="1"/>
  <c r="S165" i="1"/>
  <c r="U165" i="1"/>
  <c r="U29" i="1"/>
  <c r="W29" i="1"/>
  <c r="S29" i="1"/>
  <c r="S125" i="1"/>
  <c r="U125" i="1"/>
  <c r="W125" i="1"/>
  <c r="U149" i="1"/>
  <c r="U183" i="1"/>
  <c r="W183" i="1"/>
  <c r="S183" i="1"/>
  <c r="W189" i="1"/>
  <c r="S189" i="1"/>
  <c r="U189" i="1"/>
  <c r="Y218" i="1"/>
  <c r="S218" i="1"/>
  <c r="U218" i="1"/>
  <c r="W218" i="1"/>
  <c r="O218" i="1"/>
  <c r="Q218" i="1"/>
  <c r="M218" i="1"/>
  <c r="K218" i="1"/>
  <c r="I218" i="1"/>
  <c r="S47" i="1"/>
  <c r="U47" i="1"/>
  <c r="I47" i="1"/>
  <c r="W47" i="1"/>
  <c r="S23" i="1"/>
  <c r="U23" i="1"/>
  <c r="W23" i="1"/>
  <c r="U131" i="1"/>
  <c r="W131" i="1"/>
  <c r="S131" i="1"/>
  <c r="W17" i="1"/>
  <c r="S17" i="1"/>
  <c r="U17" i="1"/>
  <c r="U107" i="1"/>
  <c r="S107" i="1"/>
  <c r="W107" i="1"/>
  <c r="W171" i="1"/>
  <c r="S171" i="1"/>
  <c r="U171" i="1"/>
  <c r="U59" i="1"/>
  <c r="W59" i="1"/>
  <c r="S59" i="1"/>
  <c r="U137" i="1"/>
  <c r="S137" i="1"/>
  <c r="W137" i="1"/>
  <c r="S177" i="1"/>
  <c r="U177" i="1"/>
  <c r="W177" i="1"/>
  <c r="W195" i="1"/>
  <c r="S195" i="1"/>
  <c r="U195" i="1"/>
  <c r="U220" i="1"/>
  <c r="O220" i="1"/>
  <c r="W220" i="1"/>
  <c r="Q220" i="1"/>
  <c r="M220" i="1"/>
  <c r="K220" i="1"/>
  <c r="S220" i="1"/>
  <c r="I220" i="1"/>
  <c r="U11" i="1"/>
  <c r="W11" i="1"/>
  <c r="S11" i="1"/>
  <c r="U35" i="1"/>
  <c r="S35" i="1"/>
  <c r="W35" i="1"/>
  <c r="W41" i="1"/>
  <c r="S41" i="1"/>
  <c r="U41" i="1"/>
  <c r="S153" i="1"/>
  <c r="U153" i="1"/>
  <c r="W153" i="1"/>
  <c r="U83" i="1"/>
  <c r="W83" i="1"/>
  <c r="S83" i="1"/>
  <c r="W205" i="1"/>
  <c r="S205" i="1"/>
  <c r="O205" i="1"/>
  <c r="K205" i="1"/>
  <c r="U205" i="1"/>
  <c r="M205" i="1"/>
  <c r="Q205" i="1"/>
  <c r="I205" i="1"/>
  <c r="U201" i="1"/>
  <c r="M201" i="1"/>
  <c r="Q201" i="1"/>
  <c r="O201" i="1"/>
  <c r="S201" i="1"/>
  <c r="K201" i="1"/>
  <c r="W201" i="1"/>
  <c r="W222" i="1"/>
  <c r="O222" i="1"/>
  <c r="I222" i="1"/>
  <c r="K222" i="1"/>
  <c r="Q222" i="1"/>
  <c r="M222" i="1"/>
  <c r="S222" i="1"/>
  <c r="U222" i="1"/>
  <c r="M41" i="1"/>
  <c r="K41" i="1"/>
  <c r="O41" i="1"/>
  <c r="Q41" i="1"/>
  <c r="M153" i="1"/>
  <c r="K153" i="1"/>
  <c r="O153" i="1"/>
  <c r="Q153" i="1"/>
  <c r="Q83" i="1"/>
  <c r="O83" i="1"/>
  <c r="K83" i="1"/>
  <c r="M83" i="1"/>
  <c r="O11" i="1"/>
  <c r="M11" i="1"/>
  <c r="K11" i="1"/>
  <c r="Q11" i="1"/>
  <c r="M23" i="1"/>
  <c r="K23" i="1"/>
  <c r="Q23" i="1"/>
  <c r="O23" i="1"/>
  <c r="O35" i="1"/>
  <c r="Q35" i="1"/>
  <c r="M35" i="1"/>
  <c r="K35" i="1"/>
  <c r="O89" i="1"/>
  <c r="Q89" i="1"/>
  <c r="M89" i="1"/>
  <c r="K89" i="1"/>
  <c r="M71" i="1"/>
  <c r="K71" i="1"/>
  <c r="O71" i="1"/>
  <c r="Q71" i="1"/>
  <c r="M77" i="1"/>
  <c r="K77" i="1"/>
  <c r="Q77" i="1"/>
  <c r="O77" i="1"/>
  <c r="M159" i="1"/>
  <c r="K159" i="1"/>
  <c r="Q159" i="1"/>
  <c r="O159" i="1"/>
  <c r="U5" i="1"/>
  <c r="M5" i="1"/>
  <c r="S5" i="1"/>
  <c r="K5" i="1"/>
  <c r="O5" i="1"/>
  <c r="W5" i="1"/>
  <c r="Q5" i="1"/>
  <c r="O119" i="1"/>
  <c r="K119" i="1"/>
  <c r="Q119" i="1"/>
  <c r="M119" i="1"/>
  <c r="O143" i="1"/>
  <c r="Q143" i="1"/>
  <c r="M143" i="1"/>
  <c r="K143" i="1"/>
  <c r="M47" i="1"/>
  <c r="AA47" i="1"/>
  <c r="K47" i="1"/>
  <c r="O47" i="1"/>
  <c r="Y47" i="1"/>
  <c r="Q47" i="1"/>
  <c r="M53" i="1"/>
  <c r="K53" i="1"/>
  <c r="Q53" i="1"/>
  <c r="O53" i="1"/>
  <c r="O65" i="1"/>
  <c r="K65" i="1"/>
  <c r="Q65" i="1"/>
  <c r="M65" i="1"/>
  <c r="M95" i="1"/>
  <c r="K95" i="1"/>
  <c r="O95" i="1"/>
  <c r="Q95" i="1"/>
  <c r="M101" i="1"/>
  <c r="K101" i="1"/>
  <c r="Q101" i="1"/>
  <c r="O101" i="1"/>
  <c r="Q165" i="1"/>
  <c r="O165" i="1"/>
  <c r="M165" i="1"/>
  <c r="K165" i="1"/>
  <c r="Q29" i="1"/>
  <c r="O29" i="1"/>
  <c r="K29" i="1"/>
  <c r="M29" i="1"/>
  <c r="M125" i="1"/>
  <c r="K125" i="1"/>
  <c r="O125" i="1"/>
  <c r="Q125" i="1"/>
  <c r="M149" i="1"/>
  <c r="S149" i="1"/>
  <c r="K149" i="1"/>
  <c r="O149" i="1"/>
  <c r="W149" i="1"/>
  <c r="Q149" i="1"/>
  <c r="M183" i="1"/>
  <c r="K183" i="1"/>
  <c r="Q183" i="1"/>
  <c r="O183" i="1"/>
  <c r="Q189" i="1"/>
  <c r="O189" i="1"/>
  <c r="K189" i="1"/>
  <c r="M189" i="1"/>
  <c r="M131" i="1"/>
  <c r="K131" i="1"/>
  <c r="Q131" i="1"/>
  <c r="O131" i="1"/>
  <c r="M17" i="1"/>
  <c r="K17" i="1"/>
  <c r="O17" i="1"/>
  <c r="Q17" i="1"/>
  <c r="Q107" i="1"/>
  <c r="O107" i="1"/>
  <c r="M107" i="1"/>
  <c r="K107" i="1"/>
  <c r="O171" i="1"/>
  <c r="K171" i="1"/>
  <c r="Q171" i="1"/>
  <c r="M171" i="1"/>
  <c r="Q59" i="1"/>
  <c r="O59" i="1"/>
  <c r="M59" i="1"/>
  <c r="K59" i="1"/>
  <c r="Q137" i="1"/>
  <c r="O137" i="1"/>
  <c r="K137" i="1"/>
  <c r="M137" i="1"/>
  <c r="M177" i="1"/>
  <c r="K177" i="1"/>
  <c r="O177" i="1"/>
  <c r="Q177" i="1"/>
  <c r="O195" i="1"/>
  <c r="Q195" i="1"/>
  <c r="M195" i="1"/>
  <c r="K195" i="1"/>
  <c r="AA220" i="1"/>
  <c r="Y220" i="1"/>
  <c r="Y216" i="1"/>
  <c r="AA216" i="1"/>
  <c r="AA222" i="1"/>
  <c r="Y222" i="1"/>
  <c r="AA195" i="1"/>
  <c r="Y195" i="1"/>
  <c r="I195" i="1"/>
  <c r="AA189" i="1"/>
  <c r="Y189" i="1"/>
  <c r="I189" i="1"/>
  <c r="Y183" i="1"/>
  <c r="I183" i="1"/>
  <c r="AA183" i="1"/>
  <c r="Y215" i="1"/>
  <c r="I215" i="1"/>
  <c r="AA215" i="1"/>
  <c r="AA214" i="1"/>
  <c r="Z268" i="1" s="1"/>
  <c r="R268" i="1"/>
  <c r="J268" i="1"/>
  <c r="Y214" i="1"/>
  <c r="X268" i="1" s="1"/>
  <c r="P268" i="1"/>
  <c r="I214" i="1"/>
  <c r="V268" i="1"/>
  <c r="N268" i="1"/>
  <c r="T268" i="1"/>
  <c r="L268" i="1"/>
  <c r="I213" i="1"/>
  <c r="AA177" i="1"/>
  <c r="I177" i="1"/>
  <c r="Y177" i="1"/>
  <c r="AA205" i="1"/>
  <c r="Y205" i="1"/>
  <c r="Y209" i="1"/>
  <c r="AA209" i="1"/>
  <c r="AA171" i="1"/>
  <c r="Y171" i="1"/>
  <c r="I171" i="1"/>
  <c r="AA159" i="1"/>
  <c r="Y159" i="1"/>
  <c r="I159" i="1"/>
  <c r="Y143" i="1"/>
  <c r="I143" i="1"/>
  <c r="AA143" i="1"/>
  <c r="Y131" i="1"/>
  <c r="I131" i="1"/>
  <c r="AA131" i="1"/>
  <c r="AA125" i="1"/>
  <c r="Y125" i="1"/>
  <c r="I125" i="1"/>
  <c r="Y119" i="1"/>
  <c r="I119" i="1"/>
  <c r="AA119" i="1"/>
  <c r="Y107" i="1"/>
  <c r="I107" i="1"/>
  <c r="AA107" i="1"/>
  <c r="AA101" i="1"/>
  <c r="Y101" i="1"/>
  <c r="I101" i="1"/>
  <c r="AA89" i="1"/>
  <c r="Y89" i="1"/>
  <c r="I89" i="1"/>
  <c r="Y83" i="1"/>
  <c r="I83" i="1"/>
  <c r="AA83" i="1"/>
  <c r="I35" i="1"/>
  <c r="I53" i="1"/>
  <c r="Y41" i="1"/>
  <c r="I41" i="1"/>
  <c r="AA41" i="1"/>
  <c r="I71" i="1"/>
  <c r="I11" i="1"/>
  <c r="I77" i="1"/>
  <c r="I201" i="1"/>
  <c r="I59" i="1"/>
  <c r="I95" i="1"/>
  <c r="I23" i="1"/>
  <c r="I165" i="1"/>
  <c r="I153" i="1"/>
  <c r="I29" i="1"/>
  <c r="I137" i="1"/>
  <c r="I5" i="1"/>
  <c r="I149" i="1"/>
  <c r="I17" i="1"/>
  <c r="Y59" i="1"/>
  <c r="AA137" i="1"/>
  <c r="AA153" i="1"/>
  <c r="AA95" i="1"/>
  <c r="Y153" i="1"/>
  <c r="AA17" i="1"/>
  <c r="AA71" i="1"/>
  <c r="Y71" i="1"/>
  <c r="Y35" i="1"/>
  <c r="AA35" i="1"/>
  <c r="Y29" i="1"/>
  <c r="Y149" i="1"/>
  <c r="AA149" i="1"/>
  <c r="AA5" i="1"/>
  <c r="AA29" i="1"/>
  <c r="Y11" i="1"/>
  <c r="AA11" i="1"/>
  <c r="Y5" i="1"/>
  <c r="AA65" i="1"/>
  <c r="Y65" i="1"/>
  <c r="I65" i="1"/>
  <c r="Y201" i="1"/>
  <c r="AA201" i="1"/>
  <c r="AA59" i="1"/>
  <c r="Y53" i="1"/>
  <c r="AA53" i="1"/>
  <c r="Y23" i="1"/>
  <c r="AA23" i="1"/>
  <c r="Y165" i="1"/>
  <c r="AA165" i="1"/>
  <c r="Y137" i="1"/>
  <c r="Y213" i="1"/>
  <c r="AA213" i="1"/>
  <c r="Y77" i="1"/>
  <c r="AA77" i="1"/>
  <c r="Y95" i="1"/>
  <c r="Y17" i="1"/>
  <c r="H267" i="1" l="1"/>
  <c r="H271" i="1"/>
  <c r="H268" i="1"/>
  <c r="N270" i="1"/>
  <c r="N269" i="1"/>
  <c r="X270" i="1"/>
  <c r="X269" i="1"/>
  <c r="R270" i="1"/>
  <c r="R269" i="1"/>
  <c r="Z269" i="1"/>
  <c r="T267" i="1"/>
  <c r="R267" i="1"/>
  <c r="Z270" i="1"/>
  <c r="V270" i="1"/>
  <c r="J270" i="1"/>
  <c r="T270" i="1"/>
  <c r="P270" i="1"/>
  <c r="L270" i="1"/>
  <c r="Z271" i="1"/>
  <c r="L271" i="1"/>
  <c r="J271" i="1"/>
  <c r="P271" i="1"/>
  <c r="V271" i="1"/>
  <c r="V267" i="1"/>
  <c r="J267" i="1"/>
  <c r="T271" i="1"/>
  <c r="R271" i="1"/>
  <c r="N267" i="1"/>
  <c r="X267" i="1"/>
  <c r="X271" i="1"/>
  <c r="N271" i="1"/>
  <c r="P267" i="1"/>
  <c r="L267" i="1"/>
  <c r="Z267" i="1"/>
  <c r="H270" i="1" l="1"/>
  <c r="H272" i="1" s="1"/>
  <c r="L272" i="1"/>
  <c r="Z272" i="1"/>
  <c r="J272" i="1"/>
  <c r="V272" i="1"/>
  <c r="R272" i="1"/>
  <c r="P272" i="1"/>
  <c r="T272" i="1"/>
  <c r="X272" i="1"/>
  <c r="N272" i="1"/>
</calcChain>
</file>

<file path=xl/sharedStrings.xml><?xml version="1.0" encoding="utf-8"?>
<sst xmlns="http://schemas.openxmlformats.org/spreadsheetml/2006/main" count="614" uniqueCount="272">
  <si>
    <t>Regional Factor =</t>
  </si>
  <si>
    <t>Device</t>
  </si>
  <si>
    <t>General Notes</t>
  </si>
  <si>
    <t>Rates</t>
  </si>
  <si>
    <t>Categories</t>
  </si>
  <si>
    <t>FY 2018/2019</t>
  </si>
  <si>
    <t>FY 2019/2020</t>
  </si>
  <si>
    <t>FY 2020/2021</t>
  </si>
  <si>
    <t>FY 2021/2022</t>
  </si>
  <si>
    <t>FY 2022/2023</t>
  </si>
  <si>
    <t>FY 2023/2024</t>
  </si>
  <si>
    <t>FY 2024/2025</t>
  </si>
  <si>
    <t xml:space="preserve">FY 2025/2026 </t>
  </si>
  <si>
    <t>FY 2026/2027</t>
  </si>
  <si>
    <t>FY 2027/2028</t>
  </si>
  <si>
    <t>Total</t>
  </si>
  <si>
    <t xml:space="preserve"> Cost</t>
  </si>
  <si>
    <t>CCTV</t>
  </si>
  <si>
    <t>Preventive Maintenances Per Year</t>
  </si>
  <si>
    <t>Number of Existing Freeway  CCTVs</t>
  </si>
  <si>
    <t xml:space="preserve">Preventive Maintenance Rate </t>
  </si>
  <si>
    <t xml:space="preserve">Minor Maintenance  Rate </t>
  </si>
  <si>
    <t>Major Maintenance Rate</t>
  </si>
  <si>
    <t>Number of Existing Freeway CCTVs Scheduled for Replacement</t>
  </si>
  <si>
    <t>Scheduled Replacement  Rate</t>
  </si>
  <si>
    <t>Arterial CCTV</t>
  </si>
  <si>
    <t>Express CCTV</t>
  </si>
  <si>
    <t>Number of Existing Express CCTVs Scheduled for Replacement</t>
  </si>
  <si>
    <t>DMS</t>
  </si>
  <si>
    <t>Number of Existing Freeway DMSs</t>
  </si>
  <si>
    <t>Number of Existing Freeway DMSs Scheduled for Replacement</t>
  </si>
  <si>
    <t>Arterial DMS</t>
  </si>
  <si>
    <t>Express DMS</t>
  </si>
  <si>
    <t>Number of Existing Express DMSs</t>
  </si>
  <si>
    <t>Number of Existing Express DMSs Scheduled for Replacement</t>
  </si>
  <si>
    <t>Number of Existing Express Embedded DMS or LCS's</t>
  </si>
  <si>
    <t>Number of Existing Embedded DMS or LCS's Scheduled for Replacement</t>
  </si>
  <si>
    <t>MVDS</t>
  </si>
  <si>
    <t>Number of Existing MVDSs Scheduled for Replacement</t>
  </si>
  <si>
    <t>Arterial MVDS</t>
  </si>
  <si>
    <t>Express MVDS</t>
  </si>
  <si>
    <t>Number of Existing Express MVDSs</t>
  </si>
  <si>
    <t>Number of Existing Express MVDSs Scheduled for Replacement</t>
  </si>
  <si>
    <t>Number of Existing Detector's Scheduled for Replacement</t>
  </si>
  <si>
    <t>Video Vehicle Detectors</t>
  </si>
  <si>
    <t>Percent of Magnetometers Requiring Emergency Replacement</t>
  </si>
  <si>
    <t>Magnetometers Replacement Cost</t>
  </si>
  <si>
    <t>Number of Existing Loop Detector Sites Scheduled for Replacement</t>
  </si>
  <si>
    <t>Ramp Meters</t>
  </si>
  <si>
    <t>Number of Existing  Ramp Meters Scheduled for Replacement</t>
  </si>
  <si>
    <t>HAR</t>
  </si>
  <si>
    <t>Preventative Maintenances A Year</t>
  </si>
  <si>
    <t>Number of Existing HAR</t>
  </si>
  <si>
    <t xml:space="preserve">Preventative Maintenance Unit Rate </t>
  </si>
  <si>
    <t>RWIS</t>
  </si>
  <si>
    <t>Number of Existing RWIS Scheduled for Replacement</t>
  </si>
  <si>
    <t>Number of Existing Wireless Radio Devices Scheduled for Replacement</t>
  </si>
  <si>
    <t>Connected Vehicle Units</t>
  </si>
  <si>
    <t>Fiber Optic Cable</t>
  </si>
  <si>
    <t>Urban Mile of Fiber Maintenance Rate</t>
  </si>
  <si>
    <t>ITSFM</t>
  </si>
  <si>
    <t>Miles of ITSFM Implemented</t>
  </si>
  <si>
    <t>Generators</t>
  </si>
  <si>
    <t>Monthly Permanent Generator Maintenance Rate</t>
  </si>
  <si>
    <t>Cabinets</t>
  </si>
  <si>
    <t>Percent of Cabinets Requiring Emergency Replacement</t>
  </si>
  <si>
    <t>Number of Existing Cabinets</t>
  </si>
  <si>
    <t>Cabinet Replacement Cost</t>
  </si>
  <si>
    <t>Percent of Poles Requiring Emergency Replacement Per Year</t>
  </si>
  <si>
    <t>Number of Existing Poles</t>
  </si>
  <si>
    <t>Pole Structure and Installation Cost - Includes CLD</t>
  </si>
  <si>
    <t>Type II &amp; III Poles</t>
  </si>
  <si>
    <t xml:space="preserve">Pole Structure and Installation Cost </t>
  </si>
  <si>
    <t>UPS</t>
  </si>
  <si>
    <t xml:space="preserve">Percent of UPSs Requiring Emergency Replacement Per Year </t>
  </si>
  <si>
    <t>Number of UPSs</t>
  </si>
  <si>
    <t xml:space="preserve">UPS Switch Furnish and Install Rate </t>
  </si>
  <si>
    <t xml:space="preserve">Percent of Layer 2 Switches Requiring Emergency Replacement Per Year </t>
  </si>
  <si>
    <t>Number of Existing Switches</t>
  </si>
  <si>
    <t xml:space="preserve">Layer 2 Switch Furnish and Install Rate </t>
  </si>
  <si>
    <t xml:space="preserve">Percent of Layer 3 Switches Requiring Emergency Replacement Per Year </t>
  </si>
  <si>
    <t>Number of Existing Layer 3 Switches</t>
  </si>
  <si>
    <t xml:space="preserve">Layer 3 Switch Furnish and Install Rate </t>
  </si>
  <si>
    <t>TMC</t>
  </si>
  <si>
    <t>TMC Yearly Maintenance Rate</t>
  </si>
  <si>
    <t>Number of TMC's</t>
  </si>
  <si>
    <t>Satellite TMC Yearly Maintenance Rate</t>
  </si>
  <si>
    <t>Number of Satellite TMC's</t>
  </si>
  <si>
    <t>Express Lanes Sub-Total</t>
  </si>
  <si>
    <t>Fiscal Year Total</t>
  </si>
  <si>
    <t>Arterial</t>
  </si>
  <si>
    <t>Express</t>
  </si>
  <si>
    <t>Embedded DMS &amp; LCS</t>
  </si>
  <si>
    <t xml:space="preserve">Arterial </t>
  </si>
  <si>
    <t>Bluetooth/AVI</t>
  </si>
  <si>
    <t>Magnetometers</t>
  </si>
  <si>
    <t>Loop Detectors</t>
  </si>
  <si>
    <t>Layer 3 Switch</t>
  </si>
  <si>
    <t>Layer 2 Switch</t>
  </si>
  <si>
    <t>CCTV Poles</t>
  </si>
  <si>
    <t>Master Hubs</t>
  </si>
  <si>
    <t>Wireless Radio</t>
  </si>
  <si>
    <t>Freeway</t>
  </si>
  <si>
    <t>Freeway Sub-Total</t>
  </si>
  <si>
    <t>Arterial Sub-Total</t>
  </si>
  <si>
    <t>Preventive Maintenance Rate</t>
  </si>
  <si>
    <t>Minor Maintenance Rate</t>
  </si>
  <si>
    <t>Replacement Rate</t>
  </si>
  <si>
    <t>General Embedded DMS &amp; LCS</t>
  </si>
  <si>
    <t>Express Embedded DMS &amp; LCS</t>
  </si>
  <si>
    <t>Arterial Bluetooth/AVI</t>
  </si>
  <si>
    <t>Express Bluetooh/AVI</t>
  </si>
  <si>
    <t>Arterial Video Vehicle Detectors</t>
  </si>
  <si>
    <t>Express Video Vehicle Detectors</t>
  </si>
  <si>
    <t>General Loop Detectors</t>
  </si>
  <si>
    <t>Arterial Loop Detectors</t>
  </si>
  <si>
    <t>Express Loop Detectors</t>
  </si>
  <si>
    <t>General Ramp Meter</t>
  </si>
  <si>
    <t>Express Ramp Meter</t>
  </si>
  <si>
    <t>General RWIS</t>
  </si>
  <si>
    <t>Arterial RWIS</t>
  </si>
  <si>
    <t>General Wireless Radio</t>
  </si>
  <si>
    <t>Arterial Wireless Radio</t>
  </si>
  <si>
    <t>Express Wireless Radio</t>
  </si>
  <si>
    <t>General Connected Vehicle Units</t>
  </si>
  <si>
    <t>Arterial Connected Vehicle Units</t>
  </si>
  <si>
    <t>Express Connected Vehicle Units</t>
  </si>
  <si>
    <t>General Com Hub</t>
  </si>
  <si>
    <t>Arterial Com Hub</t>
  </si>
  <si>
    <t>Express Com Hub</t>
  </si>
  <si>
    <t>Component</t>
  </si>
  <si>
    <t>Fail Rate</t>
  </si>
  <si>
    <t>General Magnetometers</t>
  </si>
  <si>
    <t>Arterial Magnetometers</t>
  </si>
  <si>
    <t>Express Magnetometers</t>
  </si>
  <si>
    <t>General Cabinets</t>
  </si>
  <si>
    <t>Arterial Cabinets</t>
  </si>
  <si>
    <t>Express Cabinets</t>
  </si>
  <si>
    <t>General CCTV Poles</t>
  </si>
  <si>
    <t>Arterial CCTV Poles</t>
  </si>
  <si>
    <t>Express CCTV Poles</t>
  </si>
  <si>
    <t>General Type II &amp; III Poles</t>
  </si>
  <si>
    <t>Arterial Type II &amp; III Poles</t>
  </si>
  <si>
    <t>Express Type II &amp; III Poles</t>
  </si>
  <si>
    <t>General UPS</t>
  </si>
  <si>
    <t>Arterial UPS</t>
  </si>
  <si>
    <t>Express UPS</t>
  </si>
  <si>
    <t>General Layer 2 Switch</t>
  </si>
  <si>
    <t>Arterial Layer 2 Switch</t>
  </si>
  <si>
    <t>Express Layer 2 Switch</t>
  </si>
  <si>
    <t>Maintenance Rate</t>
  </si>
  <si>
    <t>Unit</t>
  </si>
  <si>
    <t xml:space="preserve">General Fiber Optic Cable </t>
  </si>
  <si>
    <t>Mile</t>
  </si>
  <si>
    <t>Arterial Fiber Optic Cable</t>
  </si>
  <si>
    <t>Express Fiber Optic Cable</t>
  </si>
  <si>
    <t>General Generator</t>
  </si>
  <si>
    <t>Month</t>
  </si>
  <si>
    <t>Freeway Generator</t>
  </si>
  <si>
    <t>Express Generator</t>
  </si>
  <si>
    <t>District</t>
  </si>
  <si>
    <t>Regional Factor</t>
  </si>
  <si>
    <t xml:space="preserve">FTE </t>
  </si>
  <si>
    <t>Number of Existing CVUs Scheduled for Replacement</t>
  </si>
  <si>
    <t>Arterial Embedded DMS &amp; LCS</t>
  </si>
  <si>
    <t>• Twenty Percent of all CCTV's will require Minor Maintenance services each year.
•Ten Percent of all CCTV's will require Major Maintenance services each year.
• The Replacement Rate represents only the labor, equipment, supplies etc. needed for replacing devices and not the cost of the new device in of itself.
• FDOT Work Program Inflation Factors are applied to all costs.</t>
  </si>
  <si>
    <t>•Twenty Percent of all CCTV's will require Minor Maintenance services each year.
• Ten Percent of all CTTV's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</si>
  <si>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CCTV's will require Minor Maintenance services each year.
•Ten Percent of all CTTV's will require Major Maintenance services each year.
• The Replacement Rate represents only the labor, equipment, supplies etc. needed for replacing devices and not the cost of the new device in of itself.
• FDOT Work Program Inflation Factors are applied to all costs.</t>
  </si>
  <si>
    <t>•Twenty Percent of all DMS's will require Minor Maintenance services each year.
•Ten Percent of all DMS's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</si>
  <si>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Embedded DMS or LCS's will require Minor Maintenance services each year.
•Ten Percent of all Embedded DMS or LCS's will require Major Maintenance services each year.
•The Replacement Rate represents only the labor, equipment, supplies etc. needed for replacing devices and not the cost of the new device in of itself.
•FDOT Work Program Inflation Factors are applied to all costs.</t>
  </si>
  <si>
    <t>• Twenty Percent of all Embedded DMS or LCS's will require Minor Maintenance services each year.
• Ten Percent of all Embedded DMS or LCS's will require Major Maintenance services each year.
• The Replacement Rate represents only the labor, equipment, supplies etc. needed for replacing devices and not the cost of the new device in of itself.
•FDOT Work Program Inflation Factors are applied to all costs.</t>
  </si>
  <si>
    <t>• Twenty Percent of all MVDS's will require Minor Maintenance services each year.
• Ten Percent of all MVDS's will require Major Maintenance services each year.
•The Replacement Rate represents only the labor, equipment, supplies etc. needed for replacing devices and not the cost of the new device in of itself.
•FDOT Work Program Inflation Factors are applied to all costs.</t>
  </si>
  <si>
    <t>• Twenty Percent of all MVDS's will require Minor Maintenance services each year.
•Ten Percent of all MVDS's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</si>
  <si>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MVDS's will require Minor Maintenance services each year.
•Ten Percent of all MVDS's will require Major Maintenance services each year.
• The Replacement Rate represents only the labor, equipment, supplies etc. needed for replacing devices and not the cost of the new device in of itself.
•FDOT Work Program Inflation Factors are applied to all costs.</t>
  </si>
  <si>
    <t>• Twenty Percent of all Detector's will require Minor Maintenance services each year.
•Ten Percent of all Detector's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</si>
  <si>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Detector's will require Minor Maintenance services each year.
• Ten Percent of all Detector's will require Major Maintenance services each year.
• The Replacement Rate represents only the labor, equipment, supplies etc. needed for replacing devices and not the cost of the new device in of itself.
•FDOT Work Program Inflation Factors are applied to all costs.</t>
  </si>
  <si>
    <t>•Twenty Percent of all Detector's will require Minor Maintenance services each year.
•Ten Percent of all Detector's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</si>
  <si>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Video Detector Sites will require Minor Maintenance services each year.
•Ten Percent of all Video Detector Sites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</si>
  <si>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Video Detector Sites will require Minor Maintenance services each year.
•  Ten Percent of all Video Detector Sites will require Major Maintenance services each year.
•The Replacement Rate represents only the labor, equipment, supplies etc. needed for replacing devices and not the cost of the new device in of itself.
•FDOT Work Program Inflation Factors are applied to all costs.</t>
  </si>
  <si>
    <t>• In-Pavement Magnetometers include any used for truck parking availibility systems and to detect presence or movement of vehicles.
• FDOT Work Program Inflation Factors are applied to all costs.</t>
  </si>
  <si>
    <t>•In-Pavement Magnetometers include any used for truck parking availibility systems and to detect presence or movement of vehicles.
• FDOT Work Program Inflation Factors are applied to all costs.</t>
  </si>
  <si>
    <t>• Twenty Percent of all Loop Detector Sites will require Minor Maintenance services each year.
•  Ten Percent of all Loop Detector Sites will require Major Maintenance services each year.
• The Replacement Rate represents only the labor, equipment, supplies etc. needed for replacing devices and not the cost of the new device in of itself.
• FDOT Work Program Inflation Factors are applied to all costs.</t>
  </si>
  <si>
    <t>• Twenty Percent of all Ramp Meter Sites will require Minor Maintenance services each year.
• Ten Percent of all Ramp Meter Sites will require Major Maintenance services each year.
• The Replacement Rate represents only the labor, equipment, supplies etc. needed for replacing devices and not the cost of the new device in of itself.
•FDOT Work Program Inflation Factors are applied to all costs.</t>
  </si>
  <si>
    <t>•Twenty Percent of all Ramp Meter Sites will require Minor Maintenance services each year.
•Ten Percent of all Ramp Meter Sites will require Major Maintenance services each year.
• The Replacement Rate represents only the labor, equipment, supplies etc. needed for replacing devices and not the cost of the new device in of itself.
•FDOT Work Program Inflation Factors are applied to all costs.</t>
  </si>
  <si>
    <t>• HAR's will be maintained up until their complete failure.
•FDOT Work Program Inflation Factors are applied to all costs.</t>
  </si>
  <si>
    <t>•Twenty Percent of all RWIS's will require Minor Maintenance services each year.
•Ten Percent of all RWIS's will require Major Maintenance services each year.
•The Replacement Rate represents only the labor, equipment, supplies etc. needed for replacing devices and not the cost of the device in of itself.
•FDOT Work Program Inflation Factors are applied to all costs.</t>
  </si>
  <si>
    <t>•Twenty Percent of all Wireless Radio Devices will require Minor Maintenance services each year.
• Ten Percent of all Wireless Radio Devices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</si>
  <si>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Wireless Radio Devices will require Minor Maintenance services each year.
•Ten Percent of all Wireless Radio Devices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</si>
  <si>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Wireless Radio Devices will require Minor Maintenance services each year.
•Ten Percent of all Wireless Radio Devices will require Major Maintenance services each year.
•The Replacement Rate represents only the labor, equipment, supplies etc. needed for replacing devices and not the cost of the new device in of itself.
•)FDOT Work Program Inflation Factors are applied to all costs.</t>
  </si>
  <si>
    <t>•Twenty Percent of all CVUs will require Minor Maintenance services each year.
•Ten Percent of all CVUs will require Major Maintenance services each year.
•The Replacement Rate represents only the labor, equipment, supplies etc. needed for replacing devices and not the cost of the new device in of itself.
•FDOT Work Program Inflation Factors are applied to all costs.</t>
  </si>
  <si>
    <t>• Maintenance includes but not limited to hub building, AC units, power equipment, cables, and other ancillary equipment.
•FDOT Work Program Inflation Factors are applied to all costs.</t>
  </si>
  <si>
    <t>• Only permananent generators will be accounted for.
• FDOT Work Program Inflation Factors are applied to all costs.</t>
  </si>
  <si>
    <t>• Maintenance includes but not limited to pullboxes, splice vaults, markers, conduit, aerial fiber, etc.</t>
  </si>
  <si>
    <t>• Cabinet installation cost includes price of power components, sunshields, shelves, finishing, etc.
• FDOT Work Program Inflation Factors are applied to all costs.</t>
  </si>
  <si>
    <t>• Cabinet installation cost includes price of power components, sunshields, shelves, finishing, etc.
• FDOT Work Program Inflation Factors are applied to all costs.</t>
  </si>
  <si>
    <t>• Installation cost includes the camera lowering device.
• FDOT Work Program Inflation Factors are applied to all costs.</t>
  </si>
  <si>
    <t>• Installation cost includes the camera lowering device.
• FDOT Work Program Inflation Factors are applied to all costs.</t>
  </si>
  <si>
    <t>• Includes Type II and III Poles or any other similar kinds that are used strictly for ITS.
• FDOT Work Program Inflation Factors are applied to all costs.</t>
  </si>
  <si>
    <t>•  Includes Type II and III Poles or any other similar kinds that are used strictly for ITS.
• FDOT Work Program Inflation Factors are applied to all costs.</t>
  </si>
  <si>
    <t>•  Includes standard UPS and DMS UPS.
• FDOT Work Program Inflation Factors are applied to all costs.</t>
  </si>
  <si>
    <t>• Includes standard UPS and DMS UPS.
• FDOT Work Program Inflation Factors are applied to all costs.</t>
  </si>
  <si>
    <t>• Includes standard UPS and DMS UPS.
• FDOT Work Program Inflation Factors are applied to all costs.</t>
  </si>
  <si>
    <t>• Includes cost of a pair of SFP's.
• FDOT Work Program Inflation Factors are applied to all costs.</t>
  </si>
  <si>
    <t>• Includes cost of a pair of SFP's.
• FDOT Work Program Inflation Factors are applied to all costs.</t>
  </si>
  <si>
    <t xml:space="preserve">• One Layer 3 Edge Switch will require an unplanned replacement at a minimum each year if there are any present.
• An additional 10% of Layer 3 Switches will require unplanned replacements each year. </t>
  </si>
  <si>
    <t xml:space="preserve">• One Layer 3 Edge Switch will require an unplanned replacement at a minimum each year if there are any present.
• An additional 10% of Layer 3 Switches will require unplanned replacements each year. </t>
  </si>
  <si>
    <t>• Includes maintenance of servers, software licenses, network equipment, computers, etc. 
• FDOT Work Program Inflation Factors are applied to all costs.</t>
  </si>
  <si>
    <t>Freeway ITSFM</t>
  </si>
  <si>
    <t>Arterial ITSFM</t>
  </si>
  <si>
    <t>Express ITSFM</t>
  </si>
  <si>
    <t xml:space="preserve">• 2% of Layer 3 Switches will require unplanned replacements each year. </t>
  </si>
  <si>
    <t>Number of Existing Arterial CCTVs</t>
  </si>
  <si>
    <t>Number of Existing Arterial CCTVs Scheduled for Replacement</t>
  </si>
  <si>
    <t>Number of Existing Express CCTVs</t>
  </si>
  <si>
    <t>Number of Existing Arterial DMSs</t>
  </si>
  <si>
    <t>Number of Existing Arterials DMSs Scheduled for Replacement</t>
  </si>
  <si>
    <t>Number of Existing Freeway Embedded DMS or LCS's</t>
  </si>
  <si>
    <t>Number of Existing Arterial Embedded DMS or LCS's</t>
  </si>
  <si>
    <t>Number of Existing Arterial DMS or LCS's Scheduled for Replacement</t>
  </si>
  <si>
    <t>Number of Existing Freeway MVDSs</t>
  </si>
  <si>
    <t>Number of Existing Arterial  MVDSs</t>
  </si>
  <si>
    <t>Number of Existing Arterial  MVDSs Scheduled for Replacement</t>
  </si>
  <si>
    <t>Number of Existing Freeway Detector's</t>
  </si>
  <si>
    <t>Number of Existing Arterial Detector's</t>
  </si>
  <si>
    <t>Number of Existing Express Detector's</t>
  </si>
  <si>
    <t>Number of Existing Freeway Video Vehicle Detectors</t>
  </si>
  <si>
    <t>Number of Existing Freeway Video Vehicle Detectors Scheduled for Replacement</t>
  </si>
  <si>
    <t>Number of Existing Arterial Video Vehicle Detectors</t>
  </si>
  <si>
    <t>Number of Existing Arterial Video Vehicle Detectors Scheduled for Replacement</t>
  </si>
  <si>
    <t>Number of Existing Express Video Vehicle Detectors</t>
  </si>
  <si>
    <t>Number of Existing Express Video Vehicle Detectors Scheduled for Replacement</t>
  </si>
  <si>
    <t>Number of Existing Freeway/Rest Stop In-Pavement Magnetometer Pucks</t>
  </si>
  <si>
    <t>Number of Existing Arterial In-Pavement Magnetometer Pucks</t>
  </si>
  <si>
    <t>Number of Existing Express In-Pavement Magnetometer Pucks</t>
  </si>
  <si>
    <t>Number of Existing Freeway Loop Detector Sites</t>
  </si>
  <si>
    <t>Number of Existing Arterial Loop Detector Sites</t>
  </si>
  <si>
    <t>Number of Existing Express Loop Detector Sites</t>
  </si>
  <si>
    <t>Number of Existing Freeway Ramp Meters</t>
  </si>
  <si>
    <t>Number of Existing Express Ramp Meters</t>
  </si>
  <si>
    <t>Number of Existing Freeway RWIS</t>
  </si>
  <si>
    <t>Number of Existing Arterial RWIS</t>
  </si>
  <si>
    <t>Number of Existing Freeway Wireless Radio Devices</t>
  </si>
  <si>
    <t>Number of Existing Arterial Wireless Radio Devices</t>
  </si>
  <si>
    <t>Number of Existing Express Wireless Radio Devices</t>
  </si>
  <si>
    <t xml:space="preserve">Number of Existing Freeway CVUs </t>
  </si>
  <si>
    <t xml:space="preserve">Number of Existing Arterials CVUs </t>
  </si>
  <si>
    <t xml:space="preserve">Number of Existing Express CVUs </t>
  </si>
  <si>
    <t>Number of Existing Freeway Hubs</t>
  </si>
  <si>
    <t>Number of Existing Arterial Hubs</t>
  </si>
  <si>
    <t>Number of Existing Express Hubs</t>
  </si>
  <si>
    <t>Number of Permanent Freeway Generators</t>
  </si>
  <si>
    <t>Number of Permanent Arterial Generators</t>
  </si>
  <si>
    <t>Number of Permanent Express Generators</t>
  </si>
  <si>
    <t>Miles of  Freeway Fiber Optic Cable</t>
  </si>
  <si>
    <t>Miles of  Arterial Fiber Optic Cable</t>
  </si>
  <si>
    <t>Miles of Express Fiber Optic Cable</t>
  </si>
  <si>
    <t>• ITSFM quantity should only be entered for the ITS infrastructure that is already in place and this is not previously entered in the ITSFM website. ITSFM effort for fiber and device maintenance and relocation activities are factored in the individual cost of the devices.
• ITS FM activities include GPS &amp; Cable Mapping, Equipment Site Inventory, Fiber Patch Panel Mapping, and Fiber Splice Enclosure Mapping.</t>
  </si>
  <si>
    <t>•ITSFM quantity should only be entered for the ITS infrastructure that is already in place and this is not previously entered in the ITSFM website. ITSFM effort for fiber and device maintenance and relocation activities are factored in the individual cost of the devices.
• ITS FM activities include GPS &amp; Cable Mapping, Equipment Site Inventory, Fiber Patch Panel Mapping, and Fiber Splice Enclosure Mapping.</t>
  </si>
  <si>
    <t>• ITSFM quantity should only be entered for the ITS infrastructure that is already in place and this is not previously entered in the ITSFM website. ITSFM effort for fiber and device maintenance and relocation activities are factored in the individual cost of the devices.
• ITS FM activities include GPS &amp; Cable Mapping, Equipment Site Inventory, Fiber Patch Panel Mapping, and Fiber Splice Enclosure Mapping.</t>
  </si>
  <si>
    <t>Freeway  Rate</t>
  </si>
  <si>
    <t>Arterial Rate</t>
  </si>
  <si>
    <t>Express Rate</t>
  </si>
  <si>
    <t>Gates</t>
  </si>
  <si>
    <r>
      <t>•</t>
    </r>
    <r>
      <rPr>
        <sz val="12"/>
        <color theme="1"/>
        <rFont val="Calibri"/>
        <family val="2"/>
        <scheme val="minor"/>
      </rPr>
      <t>Express Lane Warning Gates</t>
    </r>
  </si>
  <si>
    <t>Yearly Gate Maintenance Rate</t>
  </si>
  <si>
    <t>Number of Warning Gates</t>
  </si>
  <si>
    <t>Warning Gate</t>
  </si>
  <si>
    <t>Year</t>
  </si>
  <si>
    <t>General Sub-Total</t>
  </si>
  <si>
    <t>General (Freeway + Arterial+General) Sub-Total</t>
  </si>
  <si>
    <t>General</t>
  </si>
  <si>
    <t>FTE ITS Maintenance 10-Year Cost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</si>
</sst>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quot;$&quot;#,##0"/>
    <numFmt numFmtId="166" formatCode="0.0%"/>
  </numFmts>
  <fonts count="13" x14ac:knownFonts="1">
    <font>
      <sz val="11"/>
      <color theme="1"/>
      <name val="Calibri"/>
      <family val="2"/>
      <scheme val="minor"/>
    </font>
    <font>
      <sz val="11"/>
      <color theme="1"/>
      <name val="Calibri"/>
      <family val="2"/>
      <scheme val="minor"/>
    </font>
    <font>
      <sz val="11"/>
      <name val="Calibri"/>
      <family val="2"/>
      <scheme val="minor"/>
    </font>
    <font>
      <b/>
      <sz val="26"/>
      <color theme="1"/>
      <name val="Calibri"/>
      <family val="2"/>
      <scheme val="minor"/>
    </font>
    <font>
      <b/>
      <sz val="22"/>
      <color theme="1"/>
      <name val="Calibri"/>
      <family val="2"/>
      <scheme val="minor"/>
    </font>
    <font>
      <b/>
      <sz val="22"/>
      <name val="Calibri"/>
      <family val="2"/>
      <scheme val="minor"/>
    </font>
    <font>
      <b/>
      <sz val="16"/>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
      <sz val="14"/>
      <color theme="1"/>
      <name val="Calibri"/>
      <family val="2"/>
      <scheme val="minor"/>
    </font>
    <font>
      <b/>
      <sz val="20"/>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63">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213">
    <xf numFmtId="0" fontId="0" fillId="0" borderId="0" xfId="0"/>
    <xf numFmtId="0" fontId="0" fillId="0" borderId="1" xfId="0" applyBorder="1" applyAlignment="1">
      <alignment horizontal="right"/>
    </xf>
    <xf numFmtId="0" fontId="0" fillId="0" borderId="1" xfId="0" applyBorder="1" applyAlignment="1" applyProtection="1">
      <alignment horizontal="left" vertical="center"/>
      <protection locked="0"/>
    </xf>
    <xf numFmtId="0" fontId="0" fillId="0" borderId="0" xfId="0" applyBorder="1"/>
    <xf numFmtId="0" fontId="2" fillId="0" borderId="0" xfId="0" applyFont="1" applyFill="1"/>
    <xf numFmtId="0" fontId="0" fillId="0" borderId="0" xfId="0"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NumberFormat="1" applyFont="1" applyFill="1" applyBorder="1" applyAlignment="1" applyProtection="1">
      <alignment horizontal="center" vertical="center" wrapText="1"/>
    </xf>
    <xf numFmtId="0" fontId="2" fillId="0" borderId="19" xfId="0" applyFont="1" applyFill="1" applyBorder="1" applyAlignment="1">
      <alignment horizontal="center" vertical="center"/>
    </xf>
    <xf numFmtId="165" fontId="0" fillId="0" borderId="20" xfId="0" applyNumberFormat="1" applyFill="1" applyBorder="1" applyAlignment="1" applyProtection="1">
      <alignment horizontal="center" vertical="center" wrapText="1"/>
    </xf>
    <xf numFmtId="9" fontId="0" fillId="0" borderId="13" xfId="0" applyNumberFormat="1" applyFont="1" applyFill="1" applyBorder="1" applyAlignment="1" applyProtection="1">
      <alignment horizontal="center" vertical="center" wrapText="1"/>
    </xf>
    <xf numFmtId="0" fontId="0" fillId="0" borderId="39" xfId="0" applyFont="1" applyBorder="1" applyAlignment="1">
      <alignment horizontal="center" vertical="center" wrapText="1"/>
    </xf>
    <xf numFmtId="165" fontId="0" fillId="0" borderId="37" xfId="0" applyNumberFormat="1" applyFont="1" applyFill="1" applyBorder="1" applyAlignment="1" applyProtection="1">
      <alignment horizontal="center" vertical="center" wrapText="1"/>
    </xf>
    <xf numFmtId="0" fontId="2" fillId="0" borderId="39" xfId="0" applyFont="1" applyFill="1" applyBorder="1" applyAlignment="1">
      <alignment horizontal="center" vertical="center"/>
    </xf>
    <xf numFmtId="0" fontId="6" fillId="0" borderId="5" xfId="0" applyFont="1" applyFill="1" applyBorder="1" applyAlignment="1">
      <alignment horizontal="center" vertical="center" wrapText="1"/>
    </xf>
    <xf numFmtId="0" fontId="8" fillId="0" borderId="44" xfId="0" applyFont="1" applyFill="1" applyBorder="1" applyAlignment="1">
      <alignment horizontal="left" vertical="center" wrapText="1"/>
    </xf>
    <xf numFmtId="0" fontId="0" fillId="0" borderId="45" xfId="0" applyFont="1" applyFill="1" applyBorder="1" applyAlignment="1">
      <alignment horizontal="center" vertical="center" wrapText="1"/>
    </xf>
    <xf numFmtId="165" fontId="0" fillId="0" borderId="46" xfId="0" applyNumberFormat="1" applyFont="1" applyFill="1" applyBorder="1" applyAlignment="1" applyProtection="1">
      <alignment horizontal="center" vertical="center" wrapText="1"/>
    </xf>
    <xf numFmtId="0" fontId="2" fillId="0" borderId="5" xfId="0" applyFont="1" applyFill="1" applyBorder="1" applyAlignment="1">
      <alignment vertical="center" wrapText="1"/>
    </xf>
    <xf numFmtId="0" fontId="0" fillId="2" borderId="45" xfId="0" applyNumberFormat="1" applyFill="1" applyBorder="1" applyAlignment="1" applyProtection="1">
      <alignment horizontal="center" vertical="center" wrapText="1"/>
      <protection locked="0"/>
    </xf>
    <xf numFmtId="165" fontId="0" fillId="0" borderId="47" xfId="0" applyNumberFormat="1" applyFill="1" applyBorder="1" applyAlignment="1">
      <alignment horizontal="center" vertical="center" wrapText="1"/>
    </xf>
    <xf numFmtId="0" fontId="0" fillId="2" borderId="48" xfId="0" applyNumberFormat="1" applyFill="1" applyBorder="1" applyAlignment="1" applyProtection="1">
      <alignment horizontal="center" vertical="center" wrapText="1"/>
      <protection locked="0"/>
    </xf>
    <xf numFmtId="165" fontId="0" fillId="0" borderId="46" xfId="0" applyNumberFormat="1" applyFill="1" applyBorder="1" applyAlignment="1">
      <alignment horizontal="center" vertical="center" wrapText="1"/>
    </xf>
    <xf numFmtId="165" fontId="0" fillId="0" borderId="13" xfId="0" applyNumberFormat="1" applyFont="1" applyFill="1" applyBorder="1" applyAlignment="1" applyProtection="1">
      <alignment horizontal="center" vertical="center" wrapText="1"/>
    </xf>
    <xf numFmtId="0" fontId="2" fillId="0" borderId="10" xfId="0" applyFont="1" applyFill="1" applyBorder="1" applyAlignment="1">
      <alignment vertical="center"/>
    </xf>
    <xf numFmtId="0" fontId="0" fillId="2" borderId="12" xfId="0" applyNumberFormat="1" applyFill="1" applyBorder="1" applyAlignment="1" applyProtection="1">
      <alignment horizontal="center" vertical="center" wrapText="1"/>
      <protection locked="0"/>
    </xf>
    <xf numFmtId="0" fontId="0" fillId="2" borderId="38" xfId="0" applyNumberFormat="1" applyFill="1" applyBorder="1" applyAlignment="1" applyProtection="1">
      <alignment horizontal="center" vertical="center" wrapText="1"/>
      <protection locked="0"/>
    </xf>
    <xf numFmtId="0" fontId="2" fillId="0" borderId="33" xfId="0" applyFont="1" applyFill="1" applyBorder="1" applyAlignment="1">
      <alignment vertical="center"/>
    </xf>
    <xf numFmtId="0" fontId="0" fillId="2" borderId="39" xfId="0" applyNumberFormat="1" applyFill="1" applyBorder="1" applyAlignment="1" applyProtection="1">
      <alignment horizontal="center" vertical="center" wrapText="1"/>
      <protection locked="0"/>
    </xf>
    <xf numFmtId="0" fontId="0" fillId="2" borderId="40" xfId="0" applyNumberFormat="1" applyFill="1" applyBorder="1" applyAlignment="1" applyProtection="1">
      <alignment horizontal="center" vertical="center" wrapText="1"/>
      <protection locked="0"/>
    </xf>
    <xf numFmtId="0" fontId="10" fillId="0" borderId="0" xfId="0" applyFont="1" applyAlignment="1">
      <alignment horizontal="left" wrapText="1"/>
    </xf>
    <xf numFmtId="165" fontId="0" fillId="0" borderId="0" xfId="0" applyNumberFormat="1" applyAlignment="1">
      <alignment horizontal="center"/>
    </xf>
    <xf numFmtId="164" fontId="0" fillId="0" borderId="0" xfId="0" applyNumberFormat="1" applyAlignment="1">
      <alignment horizontal="center"/>
    </xf>
    <xf numFmtId="0" fontId="11" fillId="0" borderId="0" xfId="0" applyFont="1"/>
    <xf numFmtId="0" fontId="0" fillId="0" borderId="0" xfId="0" applyAlignment="1">
      <alignment horizontal="right"/>
    </xf>
    <xf numFmtId="164" fontId="0" fillId="0" borderId="0" xfId="1" applyNumberFormat="1" applyFont="1" applyAlignment="1">
      <alignment horizontal="left" vertical="top"/>
    </xf>
    <xf numFmtId="164" fontId="0" fillId="0" borderId="0" xfId="1" applyNumberFormat="1" applyFont="1" applyBorder="1" applyAlignment="1">
      <alignment horizontal="left" vertical="top"/>
    </xf>
    <xf numFmtId="0" fontId="2" fillId="0" borderId="0" xfId="0" applyFont="1" applyFill="1" applyBorder="1"/>
    <xf numFmtId="0" fontId="0" fillId="0" borderId="0" xfId="0" applyBorder="1" applyAlignment="1">
      <alignment horizontal="center"/>
    </xf>
    <xf numFmtId="0" fontId="6" fillId="0" borderId="0" xfId="0" applyFont="1"/>
    <xf numFmtId="0" fontId="7" fillId="0" borderId="44" xfId="0" applyFont="1" applyBorder="1" applyAlignment="1">
      <alignment horizontal="center" vertical="center"/>
    </xf>
    <xf numFmtId="0" fontId="7" fillId="0" borderId="44" xfId="0" applyFont="1" applyBorder="1" applyAlignment="1">
      <alignment horizontal="center" vertical="center" wrapText="1"/>
    </xf>
    <xf numFmtId="0" fontId="7" fillId="0" borderId="49" xfId="0" applyFont="1" applyBorder="1" applyAlignment="1">
      <alignment horizontal="center" vertical="center" wrapText="1"/>
    </xf>
    <xf numFmtId="164" fontId="0" fillId="0" borderId="0" xfId="0" applyNumberFormat="1"/>
    <xf numFmtId="0" fontId="7" fillId="0" borderId="11" xfId="0" applyFont="1" applyBorder="1" applyAlignment="1">
      <alignment horizontal="center" vertical="center"/>
    </xf>
    <xf numFmtId="165" fontId="0" fillId="0" borderId="50" xfId="0" applyNumberFormat="1" applyBorder="1" applyAlignment="1">
      <alignment horizontal="center" vertical="center"/>
    </xf>
    <xf numFmtId="165" fontId="0" fillId="0" borderId="52" xfId="0" applyNumberFormat="1" applyBorder="1" applyAlignment="1">
      <alignment horizontal="center" vertical="center"/>
    </xf>
    <xf numFmtId="0" fontId="0" fillId="0" borderId="0" xfId="0" applyFill="1"/>
    <xf numFmtId="0" fontId="7" fillId="0" borderId="8" xfId="0" applyFont="1" applyFill="1" applyBorder="1" applyAlignment="1">
      <alignment horizontal="center" vertical="center"/>
    </xf>
    <xf numFmtId="165" fontId="0" fillId="0" borderId="50" xfId="0" applyNumberFormat="1" applyFill="1" applyBorder="1" applyAlignment="1">
      <alignment horizontal="center" vertical="center"/>
    </xf>
    <xf numFmtId="165" fontId="0" fillId="0" borderId="52" xfId="0" applyNumberFormat="1"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Fill="1" applyBorder="1"/>
    <xf numFmtId="0" fontId="7" fillId="0" borderId="18" xfId="0" applyFont="1" applyBorder="1" applyAlignment="1">
      <alignment horizontal="center" vertical="center"/>
    </xf>
    <xf numFmtId="165" fontId="0" fillId="0" borderId="18" xfId="0" applyNumberFormat="1" applyBorder="1" applyAlignment="1">
      <alignment horizontal="center" vertical="center"/>
    </xf>
    <xf numFmtId="165" fontId="0" fillId="0" borderId="53" xfId="0" applyNumberFormat="1" applyBorder="1" applyAlignment="1">
      <alignment horizontal="center" vertical="center"/>
    </xf>
    <xf numFmtId="2" fontId="0" fillId="0" borderId="0" xfId="0" applyNumberFormat="1" applyBorder="1" applyAlignment="1">
      <alignment horizontal="center" vertical="center"/>
    </xf>
    <xf numFmtId="0" fontId="0" fillId="0" borderId="0" xfId="0" applyBorder="1" applyAlignment="1">
      <alignment vertical="center"/>
    </xf>
    <xf numFmtId="0" fontId="7" fillId="0" borderId="18" xfId="0" applyFont="1" applyFill="1" applyBorder="1" applyAlignment="1">
      <alignment horizontal="center" vertical="center"/>
    </xf>
    <xf numFmtId="165" fontId="0" fillId="0" borderId="18" xfId="0" applyNumberFormat="1" applyFill="1" applyBorder="1" applyAlignment="1">
      <alignment horizontal="center" vertical="center"/>
    </xf>
    <xf numFmtId="165" fontId="0" fillId="0" borderId="53" xfId="0" applyNumberFormat="1" applyFill="1" applyBorder="1" applyAlignment="1">
      <alignment horizontal="center" vertical="center"/>
    </xf>
    <xf numFmtId="0" fontId="7" fillId="0" borderId="0" xfId="0" applyFont="1" applyFill="1" applyBorder="1" applyAlignment="1">
      <alignment horizontal="center" vertical="center" wrapText="1"/>
    </xf>
    <xf numFmtId="1" fontId="0" fillId="0" borderId="0" xfId="0" applyNumberFormat="1"/>
    <xf numFmtId="0" fontId="7" fillId="0" borderId="18" xfId="0" applyFont="1" applyBorder="1" applyAlignment="1">
      <alignment horizontal="center" vertical="center" wrapText="1"/>
    </xf>
    <xf numFmtId="165" fontId="0" fillId="0" borderId="54" xfId="0" applyNumberFormat="1" applyBorder="1" applyAlignment="1">
      <alignment horizontal="center" vertical="center"/>
    </xf>
    <xf numFmtId="165" fontId="0" fillId="0" borderId="55" xfId="0" applyNumberFormat="1" applyBorder="1" applyAlignment="1">
      <alignment horizontal="center" vertical="center"/>
    </xf>
    <xf numFmtId="0" fontId="7" fillId="0" borderId="43" xfId="0" applyFont="1" applyBorder="1" applyAlignment="1">
      <alignment horizontal="center" vertical="center"/>
    </xf>
    <xf numFmtId="165" fontId="0" fillId="0" borderId="34" xfId="0" applyNumberFormat="1" applyBorder="1" applyAlignment="1">
      <alignment horizontal="center" vertical="center"/>
    </xf>
    <xf numFmtId="165" fontId="0" fillId="0" borderId="56" xfId="0" applyNumberFormat="1" applyBorder="1" applyAlignment="1">
      <alignment horizontal="center" vertical="center"/>
    </xf>
    <xf numFmtId="0" fontId="7" fillId="0" borderId="0" xfId="0" applyFont="1" applyBorder="1" applyAlignment="1">
      <alignment horizontal="center" vertical="center"/>
    </xf>
    <xf numFmtId="165" fontId="0" fillId="0" borderId="0" xfId="0" applyNumberFormat="1" applyBorder="1" applyAlignment="1">
      <alignment horizontal="center" vertical="center"/>
    </xf>
    <xf numFmtId="0" fontId="7" fillId="0" borderId="11" xfId="0" applyFont="1" applyBorder="1" applyAlignment="1">
      <alignment horizontal="center" vertical="center" wrapText="1"/>
    </xf>
    <xf numFmtId="9" fontId="0" fillId="0" borderId="57" xfId="0" applyNumberFormat="1" applyBorder="1" applyAlignment="1">
      <alignment horizontal="center" vertical="center"/>
    </xf>
    <xf numFmtId="165" fontId="0" fillId="0" borderId="11" xfId="0" applyNumberFormat="1" applyBorder="1" applyAlignment="1">
      <alignment horizontal="center" vertical="center"/>
    </xf>
    <xf numFmtId="9" fontId="0" fillId="0" borderId="53" xfId="0" applyNumberFormat="1" applyBorder="1" applyAlignment="1">
      <alignment horizontal="center" vertical="center"/>
    </xf>
    <xf numFmtId="9" fontId="0" fillId="0" borderId="0" xfId="0" applyNumberFormat="1" applyBorder="1" applyAlignment="1">
      <alignment horizontal="center" vertical="center"/>
    </xf>
    <xf numFmtId="165" fontId="0" fillId="0" borderId="8" xfId="0" applyNumberFormat="1" applyBorder="1" applyAlignment="1">
      <alignment horizontal="center" vertical="center"/>
    </xf>
    <xf numFmtId="166" fontId="0" fillId="0" borderId="53" xfId="0" applyNumberFormat="1" applyBorder="1" applyAlignment="1">
      <alignment horizontal="center" vertical="center"/>
    </xf>
    <xf numFmtId="0" fontId="7" fillId="0" borderId="0" xfId="0" applyFont="1" applyBorder="1" applyAlignment="1">
      <alignment vertical="center"/>
    </xf>
    <xf numFmtId="0" fontId="7" fillId="0" borderId="43" xfId="0" applyFont="1" applyBorder="1" applyAlignment="1">
      <alignment horizontal="center" vertical="center" wrapText="1"/>
    </xf>
    <xf numFmtId="9" fontId="0" fillId="0" borderId="2" xfId="0" applyNumberFormat="1" applyBorder="1" applyAlignment="1">
      <alignment horizontal="center" vertical="center"/>
    </xf>
    <xf numFmtId="165" fontId="0" fillId="0" borderId="43" xfId="0" applyNumberFormat="1" applyBorder="1" applyAlignment="1">
      <alignment horizontal="center" vertical="center"/>
    </xf>
    <xf numFmtId="0" fontId="7" fillId="0" borderId="0" xfId="0" applyFont="1" applyBorder="1" applyAlignment="1">
      <alignment horizontal="center" vertical="center" wrapText="1"/>
    </xf>
    <xf numFmtId="2" fontId="7" fillId="0" borderId="44" xfId="0" applyNumberFormat="1" applyFont="1" applyBorder="1" applyAlignment="1">
      <alignment horizontal="center" vertical="center"/>
    </xf>
    <xf numFmtId="2" fontId="0" fillId="0" borderId="11" xfId="0" applyNumberFormat="1" applyBorder="1" applyAlignment="1">
      <alignment horizontal="center" vertical="center"/>
    </xf>
    <xf numFmtId="0" fontId="7" fillId="0" borderId="50" xfId="0" applyFont="1" applyBorder="1" applyAlignment="1">
      <alignment horizontal="center" vertical="center" wrapText="1"/>
    </xf>
    <xf numFmtId="2" fontId="0" fillId="0" borderId="50" xfId="0" applyNumberFormat="1" applyBorder="1" applyAlignment="1">
      <alignment horizontal="center" vertical="center"/>
    </xf>
    <xf numFmtId="2" fontId="0" fillId="0" borderId="8" xfId="0" applyNumberFormat="1" applyBorder="1" applyAlignment="1">
      <alignment horizontal="center" vertical="center"/>
    </xf>
    <xf numFmtId="2" fontId="0" fillId="0" borderId="54" xfId="0" applyNumberFormat="1" applyBorder="1" applyAlignment="1">
      <alignment horizontal="center" vertical="center"/>
    </xf>
    <xf numFmtId="2" fontId="0" fillId="0" borderId="18" xfId="0" applyNumberFormat="1" applyBorder="1" applyAlignment="1">
      <alignment horizontal="center" vertical="center"/>
    </xf>
    <xf numFmtId="2" fontId="0" fillId="0" borderId="43" xfId="0" applyNumberFormat="1" applyBorder="1" applyAlignment="1">
      <alignment horizontal="center" vertical="center"/>
    </xf>
    <xf numFmtId="1" fontId="0" fillId="0" borderId="50" xfId="0" applyNumberFormat="1" applyBorder="1" applyAlignment="1">
      <alignment horizontal="center" vertical="center"/>
    </xf>
    <xf numFmtId="0" fontId="0" fillId="0" borderId="50" xfId="0" applyBorder="1" applyAlignment="1">
      <alignment horizontal="center" vertical="center"/>
    </xf>
    <xf numFmtId="1" fontId="0" fillId="0" borderId="18" xfId="0" applyNumberFormat="1" applyBorder="1" applyAlignment="1">
      <alignment horizontal="center" vertical="center"/>
    </xf>
    <xf numFmtId="0" fontId="0" fillId="0" borderId="18" xfId="0" applyFill="1" applyBorder="1" applyAlignment="1">
      <alignment horizontal="center" vertical="center"/>
    </xf>
    <xf numFmtId="0" fontId="0" fillId="0" borderId="18" xfId="0" applyBorder="1" applyAlignment="1">
      <alignment horizontal="center" vertical="center"/>
    </xf>
    <xf numFmtId="1" fontId="0" fillId="0" borderId="34" xfId="0" applyNumberFormat="1" applyBorder="1" applyAlignment="1">
      <alignment horizontal="center" vertical="center"/>
    </xf>
    <xf numFmtId="0" fontId="0" fillId="0" borderId="34" xfId="0" applyFill="1" applyBorder="1" applyAlignment="1">
      <alignment horizontal="center" vertical="center"/>
    </xf>
    <xf numFmtId="9" fontId="0" fillId="0" borderId="15" xfId="0" applyNumberFormat="1" applyFont="1" applyFill="1" applyBorder="1" applyAlignment="1" applyProtection="1">
      <alignment horizontal="center" vertical="center" wrapText="1"/>
    </xf>
    <xf numFmtId="165" fontId="0" fillId="0" borderId="51" xfId="0" applyNumberFormat="1" applyFont="1" applyFill="1" applyBorder="1" applyAlignment="1" applyProtection="1">
      <alignment horizontal="center" vertical="center" wrapText="1"/>
    </xf>
    <xf numFmtId="0" fontId="12" fillId="0" borderId="8" xfId="0" applyFont="1" applyBorder="1" applyAlignment="1">
      <alignment horizontal="center" vertical="center" textRotation="90"/>
    </xf>
    <xf numFmtId="0" fontId="0" fillId="2" borderId="21" xfId="0" applyNumberFormat="1" applyFill="1" applyBorder="1" applyAlignment="1" applyProtection="1">
      <alignment horizontal="center" vertical="center" wrapText="1"/>
      <protection locked="0"/>
    </xf>
    <xf numFmtId="0" fontId="0" fillId="2" borderId="23" xfId="0" applyNumberFormat="1" applyFill="1" applyBorder="1" applyAlignment="1" applyProtection="1">
      <alignment horizontal="center" vertical="center" wrapText="1"/>
      <protection locked="0"/>
    </xf>
    <xf numFmtId="0" fontId="6" fillId="0" borderId="7" xfId="0" applyFont="1" applyBorder="1" applyAlignment="1">
      <alignment horizontal="center" vertical="center"/>
    </xf>
    <xf numFmtId="0" fontId="9" fillId="0" borderId="8" xfId="0" applyFont="1" applyBorder="1" applyAlignment="1">
      <alignment horizontal="left" vertical="center" wrapText="1"/>
    </xf>
    <xf numFmtId="0" fontId="0" fillId="0" borderId="21" xfId="0" applyFont="1" applyBorder="1" applyAlignment="1">
      <alignment horizontal="center" vertical="center" wrapText="1"/>
    </xf>
    <xf numFmtId="0" fontId="2" fillId="0" borderId="7" xfId="0" applyFont="1" applyFill="1" applyBorder="1" applyAlignment="1">
      <alignment vertical="center" wrapText="1"/>
    </xf>
    <xf numFmtId="165" fontId="0" fillId="0" borderId="61" xfId="0" applyNumberFormat="1" applyBorder="1" applyAlignment="1">
      <alignment horizontal="center" vertical="center" wrapText="1"/>
    </xf>
    <xf numFmtId="165" fontId="0" fillId="0" borderId="62" xfId="0" applyNumberFormat="1" applyBorder="1" applyAlignment="1">
      <alignment horizontal="center" vertical="center" wrapText="1"/>
    </xf>
    <xf numFmtId="0" fontId="0" fillId="2" borderId="14" xfId="0" applyNumberFormat="1" applyFill="1" applyBorder="1" applyAlignment="1" applyProtection="1">
      <alignment horizontal="center" vertical="center" wrapText="1"/>
      <protection locked="0"/>
    </xf>
    <xf numFmtId="0" fontId="0" fillId="2" borderId="30" xfId="0" applyNumberFormat="1" applyFill="1" applyBorder="1" applyAlignment="1" applyProtection="1">
      <alignment horizontal="center" vertical="center" wrapText="1"/>
      <protection locked="0"/>
    </xf>
    <xf numFmtId="165" fontId="0" fillId="0" borderId="15" xfId="0" applyNumberFormat="1" applyFill="1" applyBorder="1" applyAlignment="1">
      <alignment horizontal="center" vertical="center" wrapText="1"/>
    </xf>
    <xf numFmtId="165" fontId="0" fillId="0" borderId="35" xfId="0" applyNumberFormat="1" applyFill="1" applyBorder="1" applyAlignment="1">
      <alignment horizontal="center" vertical="center" wrapText="1"/>
    </xf>
    <xf numFmtId="165" fontId="6" fillId="0" borderId="5" xfId="0" applyNumberFormat="1" applyFont="1" applyBorder="1" applyAlignment="1">
      <alignment horizontal="center" vertical="center"/>
    </xf>
    <xf numFmtId="165" fontId="6" fillId="0" borderId="6" xfId="0" applyNumberFormat="1" applyFont="1" applyBorder="1" applyAlignment="1">
      <alignment horizontal="center" vertical="center"/>
    </xf>
    <xf numFmtId="0" fontId="12" fillId="0" borderId="4" xfId="0" applyFont="1" applyBorder="1" applyAlignment="1">
      <alignment horizontal="center" vertical="center" textRotation="90"/>
    </xf>
    <xf numFmtId="0" fontId="12" fillId="0" borderId="8" xfId="0" applyFont="1" applyBorder="1" applyAlignment="1">
      <alignment horizontal="center" vertical="center" textRotation="90"/>
    </xf>
    <xf numFmtId="0" fontId="12" fillId="0" borderId="43" xfId="0" applyFont="1" applyBorder="1" applyAlignment="1">
      <alignment horizontal="center" vertical="center" textRotation="90"/>
    </xf>
    <xf numFmtId="0" fontId="6" fillId="0" borderId="1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30" xfId="0" applyFont="1" applyFill="1" applyBorder="1" applyAlignment="1">
      <alignment horizontal="center" vertical="center" wrapText="1"/>
    </xf>
    <xf numFmtId="165" fontId="0" fillId="0" borderId="42" xfId="0" applyNumberFormat="1" applyFont="1" applyFill="1" applyBorder="1" applyAlignment="1" applyProtection="1">
      <alignment horizontal="center" vertical="center" wrapText="1"/>
    </xf>
    <xf numFmtId="165" fontId="0" fillId="0" borderId="31" xfId="0" applyNumberFormat="1"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0" fillId="0" borderId="8" xfId="0" applyBorder="1" applyAlignment="1">
      <alignment horizontal="center" vertical="center" textRotation="90"/>
    </xf>
    <xf numFmtId="0" fontId="0" fillId="0" borderId="43" xfId="0" applyBorder="1" applyAlignment="1">
      <alignment horizontal="center" vertical="center" textRotation="90"/>
    </xf>
    <xf numFmtId="164" fontId="0" fillId="0" borderId="15" xfId="0" applyNumberFormat="1" applyBorder="1" applyAlignment="1">
      <alignment horizontal="center" vertical="center" wrapText="1"/>
    </xf>
    <xf numFmtId="165" fontId="0" fillId="0" borderId="22" xfId="0" applyNumberFormat="1" applyBorder="1" applyAlignment="1">
      <alignment horizontal="center" vertical="center" wrapText="1"/>
    </xf>
    <xf numFmtId="0" fontId="0" fillId="2" borderId="21" xfId="0" applyNumberFormat="1" applyFill="1" applyBorder="1" applyAlignment="1" applyProtection="1">
      <alignment horizontal="center" vertical="center" wrapText="1"/>
      <protection locked="0"/>
    </xf>
    <xf numFmtId="0" fontId="0" fillId="2" borderId="25" xfId="0" applyNumberFormat="1" applyFill="1" applyBorder="1" applyAlignment="1" applyProtection="1">
      <alignment horizontal="center" vertical="center" wrapText="1"/>
      <protection locked="0"/>
    </xf>
    <xf numFmtId="0" fontId="0" fillId="2" borderId="16" xfId="0" applyNumberFormat="1" applyFill="1" applyBorder="1" applyAlignment="1" applyProtection="1">
      <alignment horizontal="center" vertical="center" wrapText="1"/>
      <protection locked="0"/>
    </xf>
    <xf numFmtId="0" fontId="0" fillId="2" borderId="23" xfId="0" applyNumberFormat="1" applyFill="1" applyBorder="1" applyAlignment="1" applyProtection="1">
      <alignment horizontal="center" vertical="center" wrapText="1"/>
      <protection locked="0"/>
    </xf>
    <xf numFmtId="0" fontId="0" fillId="2" borderId="26" xfId="0" applyNumberFormat="1" applyFill="1" applyBorder="1" applyAlignment="1" applyProtection="1">
      <alignment horizontal="center" vertical="center" wrapText="1"/>
      <protection locked="0"/>
    </xf>
    <xf numFmtId="164" fontId="0" fillId="0" borderId="13" xfId="0" applyNumberFormat="1" applyBorder="1" applyAlignment="1">
      <alignment horizontal="center" vertical="center" wrapText="1"/>
    </xf>
    <xf numFmtId="165" fontId="0" fillId="0" borderId="20" xfId="0" applyNumberFormat="1" applyBorder="1" applyAlignment="1">
      <alignment horizontal="center" vertical="center" wrapText="1"/>
    </xf>
    <xf numFmtId="0" fontId="2" fillId="0" borderId="7"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2" borderId="27" xfId="0" applyNumberFormat="1" applyFill="1" applyBorder="1" applyAlignment="1" applyProtection="1">
      <alignment horizontal="center" vertical="center" wrapText="1"/>
      <protection locked="0"/>
    </xf>
    <xf numFmtId="0" fontId="0" fillId="2" borderId="28" xfId="0" applyNumberFormat="1" applyFill="1" applyBorder="1" applyAlignment="1" applyProtection="1">
      <alignment horizontal="center" vertical="center" wrapText="1"/>
      <protection locked="0"/>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165" fontId="0" fillId="0" borderId="29" xfId="0" applyNumberFormat="1" applyFill="1" applyBorder="1" applyAlignment="1" applyProtection="1">
      <alignment horizontal="center" vertical="center" wrapText="1"/>
    </xf>
    <xf numFmtId="165" fontId="0" fillId="0" borderId="31" xfId="0" applyNumberFormat="1" applyFill="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0" fillId="2" borderId="38" xfId="0" applyNumberFormat="1" applyFill="1" applyBorder="1" applyAlignment="1" applyProtection="1">
      <alignment horizontal="center" vertical="center" wrapText="1"/>
      <protection locked="0"/>
    </xf>
    <xf numFmtId="0" fontId="0" fillId="2" borderId="41" xfId="0" applyNumberFormat="1" applyFill="1" applyBorder="1" applyAlignment="1" applyProtection="1">
      <alignment horizontal="center" vertical="center" wrapText="1"/>
      <protection locked="0"/>
    </xf>
    <xf numFmtId="0" fontId="0" fillId="2" borderId="40" xfId="0" applyNumberFormat="1" applyFill="1" applyBorder="1" applyAlignment="1" applyProtection="1">
      <alignment horizontal="center" vertical="center" wrapText="1"/>
      <protection locked="0"/>
    </xf>
    <xf numFmtId="165" fontId="0" fillId="0" borderId="15" xfId="0" applyNumberFormat="1" applyBorder="1" applyAlignment="1">
      <alignment horizontal="center" vertical="center" wrapText="1"/>
    </xf>
    <xf numFmtId="165" fontId="0" fillId="0" borderId="35" xfId="0" applyNumberFormat="1" applyBorder="1" applyAlignment="1">
      <alignment horizontal="center" vertical="center" wrapText="1"/>
    </xf>
    <xf numFmtId="0" fontId="0" fillId="2" borderId="12" xfId="0" applyNumberFormat="1" applyFill="1" applyBorder="1" applyAlignment="1" applyProtection="1">
      <alignment horizontal="center" vertical="center" wrapText="1"/>
      <protection locked="0"/>
    </xf>
    <xf numFmtId="0" fontId="0" fillId="2" borderId="19" xfId="0" applyNumberFormat="1" applyFill="1" applyBorder="1" applyAlignment="1" applyProtection="1">
      <alignment horizontal="center" vertical="center" wrapText="1"/>
      <protection locked="0"/>
    </xf>
    <xf numFmtId="0" fontId="0" fillId="2" borderId="39" xfId="0" applyNumberFormat="1" applyFill="1" applyBorder="1" applyAlignment="1" applyProtection="1">
      <alignment horizontal="center" vertical="center" wrapText="1"/>
      <protection locked="0"/>
    </xf>
    <xf numFmtId="0" fontId="6" fillId="0" borderId="5" xfId="0" applyFont="1" applyBorder="1" applyAlignment="1">
      <alignment horizontal="right" vertical="center" wrapText="1"/>
    </xf>
    <xf numFmtId="0" fontId="6" fillId="0" borderId="49" xfId="0" applyFont="1" applyBorder="1" applyAlignment="1">
      <alignment horizontal="right" vertical="center" wrapText="1"/>
    </xf>
    <xf numFmtId="164" fontId="0" fillId="0" borderId="42" xfId="0" applyNumberFormat="1" applyBorder="1" applyAlignment="1">
      <alignment horizontal="center" vertical="center" wrapText="1"/>
    </xf>
    <xf numFmtId="164" fontId="0" fillId="0" borderId="31" xfId="0" applyNumberFormat="1" applyBorder="1" applyAlignment="1">
      <alignment horizontal="center" vertical="center" wrapText="1"/>
    </xf>
    <xf numFmtId="0" fontId="6" fillId="0" borderId="10" xfId="0" applyFont="1" applyBorder="1" applyAlignment="1">
      <alignment horizontal="center" vertical="center"/>
    </xf>
    <xf numFmtId="0" fontId="6" fillId="0" borderId="33" xfId="0" applyFont="1" applyBorder="1" applyAlignment="1">
      <alignment horizontal="center" vertical="center"/>
    </xf>
    <xf numFmtId="0" fontId="9" fillId="0" borderId="34" xfId="0" applyFont="1" applyBorder="1" applyAlignment="1">
      <alignment horizontal="left" vertical="center" wrapText="1"/>
    </xf>
    <xf numFmtId="0" fontId="2" fillId="0" borderId="10" xfId="0" applyFont="1" applyFill="1" applyBorder="1" applyAlignment="1">
      <alignment vertical="center" wrapText="1"/>
    </xf>
    <xf numFmtId="0" fontId="2" fillId="0" borderId="33" xfId="0" applyFont="1" applyFill="1" applyBorder="1" applyAlignment="1">
      <alignment vertical="center" wrapText="1"/>
    </xf>
    <xf numFmtId="0" fontId="8" fillId="0" borderId="34" xfId="0" applyFont="1" applyBorder="1" applyAlignment="1">
      <alignment horizontal="left" vertical="center" wrapText="1"/>
    </xf>
    <xf numFmtId="0" fontId="6" fillId="0" borderId="33" xfId="0" applyFont="1" applyBorder="1" applyAlignment="1">
      <alignment horizontal="center" vertical="center" wrapText="1"/>
    </xf>
    <xf numFmtId="165" fontId="0" fillId="0" borderId="13" xfId="0" applyNumberFormat="1" applyBorder="1" applyAlignment="1">
      <alignment horizontal="center" vertical="center" wrapText="1"/>
    </xf>
    <xf numFmtId="165" fontId="0" fillId="0" borderId="37" xfId="0" applyNumberFormat="1" applyBorder="1" applyAlignment="1">
      <alignment horizontal="center" vertical="center" wrapText="1"/>
    </xf>
    <xf numFmtId="165" fontId="0" fillId="0" borderId="42" xfId="0" applyNumberFormat="1" applyBorder="1" applyAlignment="1">
      <alignment horizontal="center" vertical="center" wrapText="1"/>
    </xf>
    <xf numFmtId="165" fontId="0" fillId="0" borderId="31" xfId="0" applyNumberFormat="1" applyBorder="1" applyAlignment="1">
      <alignment horizontal="center" vertical="center" wrapText="1"/>
    </xf>
    <xf numFmtId="0" fontId="6" fillId="0" borderId="4" xfId="0" applyFont="1" applyBorder="1" applyAlignment="1">
      <alignment horizontal="center" vertical="center" wrapText="1"/>
    </xf>
    <xf numFmtId="0" fontId="6" fillId="0" borderId="43" xfId="0" applyFont="1" applyBorder="1" applyAlignment="1">
      <alignment horizontal="center" vertical="center" wrapText="1"/>
    </xf>
    <xf numFmtId="0" fontId="8" fillId="0" borderId="4" xfId="0" applyFont="1" applyBorder="1" applyAlignment="1">
      <alignment horizontal="left" vertical="center" wrapText="1"/>
    </xf>
    <xf numFmtId="0" fontId="8" fillId="0" borderId="43" xfId="0" applyFont="1" applyBorder="1" applyAlignment="1">
      <alignment horizontal="left" vertical="center" wrapText="1"/>
    </xf>
    <xf numFmtId="0" fontId="2" fillId="0" borderId="4" xfId="0" applyFont="1" applyFill="1" applyBorder="1" applyAlignment="1">
      <alignment vertical="center" wrapText="1"/>
    </xf>
    <xf numFmtId="0" fontId="2" fillId="0" borderId="43" xfId="0" applyFont="1" applyFill="1" applyBorder="1" applyAlignment="1">
      <alignment vertical="center" wrapText="1"/>
    </xf>
    <xf numFmtId="0" fontId="9" fillId="0" borderId="18" xfId="0" applyFont="1" applyBorder="1" applyAlignment="1">
      <alignment horizontal="left" vertical="center" wrapText="1"/>
    </xf>
    <xf numFmtId="0" fontId="2" fillId="0" borderId="10" xfId="0" applyFont="1" applyFill="1" applyBorder="1" applyAlignment="1">
      <alignment vertical="center"/>
    </xf>
    <xf numFmtId="0" fontId="2" fillId="0" borderId="17" xfId="0" applyFont="1" applyFill="1" applyBorder="1" applyAlignment="1">
      <alignment vertical="center"/>
    </xf>
    <xf numFmtId="0" fontId="2" fillId="0" borderId="33" xfId="0" applyFont="1" applyFill="1" applyBorder="1" applyAlignment="1">
      <alignment vertical="center"/>
    </xf>
    <xf numFmtId="0" fontId="0" fillId="2" borderId="36" xfId="0" applyNumberFormat="1" applyFill="1" applyBorder="1" applyAlignment="1" applyProtection="1">
      <alignment horizontal="center" vertical="center" wrapText="1"/>
      <protection locked="0"/>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24" xfId="0" applyFont="1" applyFill="1" applyBorder="1" applyAlignment="1">
      <alignment horizontal="left" vertical="center"/>
    </xf>
    <xf numFmtId="0" fontId="8" fillId="0" borderId="8" xfId="0" applyFont="1" applyBorder="1" applyAlignment="1">
      <alignment horizontal="left" vertical="center" wrapText="1"/>
    </xf>
    <xf numFmtId="0" fontId="6" fillId="0" borderId="5" xfId="0" applyFont="1" applyBorder="1" applyAlignment="1">
      <alignment horizontal="center"/>
    </xf>
    <xf numFmtId="0" fontId="6" fillId="0" borderId="6" xfId="0" applyFont="1" applyBorder="1" applyAlignment="1">
      <alignment horizontal="center"/>
    </xf>
    <xf numFmtId="0" fontId="3" fillId="0" borderId="2" xfId="0" applyFont="1" applyBorder="1" applyAlignment="1" applyProtection="1">
      <alignment horizontal="center"/>
      <protection locked="0"/>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165" fontId="0" fillId="0" borderId="32" xfId="0" applyNumberFormat="1" applyBorder="1" applyAlignment="1">
      <alignment horizontal="center" vertical="center"/>
    </xf>
    <xf numFmtId="165" fontId="0" fillId="0" borderId="60" xfId="0" applyNumberFormat="1" applyBorder="1" applyAlignment="1">
      <alignment horizontal="center" vertical="center"/>
    </xf>
    <xf numFmtId="165" fontId="0" fillId="0" borderId="17" xfId="0" applyNumberFormat="1" applyBorder="1" applyAlignment="1">
      <alignment horizontal="center" vertical="center"/>
    </xf>
    <xf numFmtId="165" fontId="0" fillId="0" borderId="59" xfId="0" applyNumberForma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65" fontId="0" fillId="0" borderId="10" xfId="0" applyNumberFormat="1" applyBorder="1" applyAlignment="1">
      <alignment horizontal="center" vertical="center"/>
    </xf>
    <xf numFmtId="165" fontId="0" fillId="0" borderId="58" xfId="0" applyNumberForma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ntb-my.sharepoint.com/personal/yeses_hntb_com/Documents/District%20Replies/Updated%20Version/ITS%20Operations%20&amp;%20Maintenance/ITS%2010-Year%20Work%20Pro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Rates"/>
      <sheetName val="D1 Replacement"/>
      <sheetName val="D2 Maintenance"/>
      <sheetName val="D2 Replacement"/>
      <sheetName val="D3 Maintenance"/>
      <sheetName val="D3 Replacement"/>
      <sheetName val="D4 Maintenance "/>
      <sheetName val="D4 Replacement"/>
      <sheetName val="D5 Maintenance"/>
      <sheetName val="D5 Replacement"/>
      <sheetName val="D6 Maintenance"/>
      <sheetName val="D6 Replacement"/>
      <sheetName val="D7 Maintenance"/>
      <sheetName val="D7 Replacement"/>
      <sheetName val="FTE Maintenance"/>
    </sheetNames>
    <sheetDataSet>
      <sheetData sheetId="0"/>
      <sheetData sheetId="1">
        <row r="6">
          <cell r="H6">
            <v>223.965</v>
          </cell>
        </row>
        <row r="8">
          <cell r="J8">
            <v>960.25500000000011</v>
          </cell>
        </row>
        <row r="15">
          <cell r="J15">
            <v>1026.8910000000001</v>
          </cell>
        </row>
        <row r="20">
          <cell r="J20">
            <v>772.57912499999998</v>
          </cell>
        </row>
        <row r="26">
          <cell r="J26">
            <v>1598.6992500000001</v>
          </cell>
        </row>
        <row r="32">
          <cell r="J32">
            <v>660.07912499999998</v>
          </cell>
        </row>
        <row r="38">
          <cell r="J38">
            <v>962.0100000000001</v>
          </cell>
        </row>
        <row r="62">
          <cell r="O62">
            <v>2993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89"/>
  <sheetViews>
    <sheetView showZeros="0" tabSelected="1" topLeftCell="A2" zoomScale="40" zoomScaleNormal="40" workbookViewId="0">
      <selection activeCell="H11" sqref="H11:H13"/>
    </sheetView>
  </sheetViews>
  <sheetFormatPr defaultRowHeight="14.4" x14ac:dyDescent="0.3"/>
  <cols>
    <col min="2" max="2" width="9.109375" customWidth="1"/>
    <col min="3" max="3" width="25.109375" customWidth="1"/>
    <col min="4" max="4" width="65.6640625" customWidth="1"/>
    <col min="5" max="5" width="43.5546875" customWidth="1"/>
    <col min="6" max="6" width="20" customWidth="1"/>
    <col min="7" max="7" width="39.6640625" style="4" customWidth="1"/>
    <col min="8" max="8" width="7.6640625" style="5" customWidth="1"/>
    <col min="9" max="9" width="14.6640625" customWidth="1"/>
    <col min="10" max="10" width="7.6640625" customWidth="1"/>
    <col min="11" max="11" width="14.6640625" customWidth="1"/>
    <col min="12" max="12" width="7.6640625" customWidth="1"/>
    <col min="13" max="13" width="15.6640625" customWidth="1"/>
    <col min="14" max="14" width="7.6640625" customWidth="1"/>
    <col min="15" max="15" width="14.33203125" customWidth="1"/>
    <col min="16" max="16" width="7.6640625" customWidth="1"/>
    <col min="17" max="17" width="14.6640625" customWidth="1"/>
    <col min="18" max="18" width="7.6640625" customWidth="1"/>
    <col min="19" max="19" width="16" customWidth="1"/>
    <col min="20" max="20" width="7.6640625" customWidth="1"/>
    <col min="21" max="21" width="14.6640625" customWidth="1"/>
    <col min="22" max="22" width="7.6640625" customWidth="1"/>
    <col min="23" max="23" width="14.6640625" customWidth="1"/>
    <col min="24" max="24" width="7.6640625" hidden="1" customWidth="1"/>
    <col min="25" max="25" width="14.6640625" hidden="1" customWidth="1"/>
    <col min="26" max="26" width="7.6640625" hidden="1" customWidth="1"/>
    <col min="27" max="27" width="14.6640625" hidden="1" customWidth="1"/>
  </cols>
  <sheetData>
    <row r="1" spans="2:29" ht="25.5" hidden="1" customHeight="1" x14ac:dyDescent="0.3">
      <c r="C1" s="1" t="s">
        <v>0</v>
      </c>
      <c r="D1" s="2">
        <f>Rates!N82</f>
        <v>1</v>
      </c>
      <c r="E1" s="3"/>
    </row>
    <row r="2" spans="2:29" ht="33" customHeight="1" thickBot="1" x14ac:dyDescent="0.7">
      <c r="C2" s="196" t="s">
        <v>271</v>
      </c>
      <c r="D2" s="196"/>
      <c r="E2" s="196"/>
      <c r="F2" s="196"/>
      <c r="G2" s="196"/>
      <c r="H2" s="196"/>
      <c r="I2" s="196"/>
      <c r="J2" s="196"/>
      <c r="K2" s="196"/>
      <c r="L2" s="196"/>
      <c r="M2" s="196"/>
      <c r="N2" s="196"/>
      <c r="O2" s="196"/>
      <c r="P2" s="196"/>
      <c r="Q2" s="196"/>
      <c r="R2" s="196"/>
      <c r="S2" s="196"/>
      <c r="T2" s="196"/>
      <c r="U2" s="196"/>
      <c r="V2" s="196"/>
      <c r="W2" s="196"/>
      <c r="X2" s="196"/>
      <c r="Y2" s="196"/>
      <c r="Z2" s="196"/>
      <c r="AA2" s="196"/>
    </row>
    <row r="3" spans="2:29" ht="21.75" customHeight="1" thickBot="1" x14ac:dyDescent="0.45">
      <c r="C3" s="197" t="s">
        <v>1</v>
      </c>
      <c r="D3" s="199" t="s">
        <v>2</v>
      </c>
      <c r="E3" s="201" t="s">
        <v>3</v>
      </c>
      <c r="F3" s="201"/>
      <c r="G3" s="203" t="s">
        <v>4</v>
      </c>
      <c r="H3" s="194" t="s">
        <v>5</v>
      </c>
      <c r="I3" s="195"/>
      <c r="J3" s="194" t="s">
        <v>6</v>
      </c>
      <c r="K3" s="195"/>
      <c r="L3" s="194" t="s">
        <v>7</v>
      </c>
      <c r="M3" s="195"/>
      <c r="N3" s="194" t="s">
        <v>8</v>
      </c>
      <c r="O3" s="195"/>
      <c r="P3" s="194" t="s">
        <v>9</v>
      </c>
      <c r="Q3" s="195"/>
      <c r="R3" s="194" t="s">
        <v>10</v>
      </c>
      <c r="S3" s="195"/>
      <c r="T3" s="194" t="s">
        <v>11</v>
      </c>
      <c r="U3" s="195"/>
      <c r="V3" s="194" t="s">
        <v>12</v>
      </c>
      <c r="W3" s="195"/>
      <c r="X3" s="194" t="s">
        <v>13</v>
      </c>
      <c r="Y3" s="195"/>
      <c r="Z3" s="194" t="s">
        <v>14</v>
      </c>
      <c r="AA3" s="195"/>
    </row>
    <row r="4" spans="2:29" ht="18.600000000000001" thickBot="1" x14ac:dyDescent="0.35">
      <c r="C4" s="198"/>
      <c r="D4" s="200"/>
      <c r="E4" s="202"/>
      <c r="F4" s="202"/>
      <c r="G4" s="204"/>
      <c r="H4" s="6" t="s">
        <v>15</v>
      </c>
      <c r="I4" s="6" t="s">
        <v>16</v>
      </c>
      <c r="J4" s="6"/>
      <c r="K4" s="6" t="s">
        <v>16</v>
      </c>
      <c r="L4" s="7" t="s">
        <v>15</v>
      </c>
      <c r="M4" s="8" t="s">
        <v>16</v>
      </c>
      <c r="N4" s="6" t="s">
        <v>15</v>
      </c>
      <c r="O4" s="6" t="s">
        <v>16</v>
      </c>
      <c r="P4" s="7" t="s">
        <v>15</v>
      </c>
      <c r="Q4" s="8" t="s">
        <v>16</v>
      </c>
      <c r="R4" s="6" t="s">
        <v>15</v>
      </c>
      <c r="S4" s="6" t="s">
        <v>16</v>
      </c>
      <c r="T4" s="7" t="s">
        <v>15</v>
      </c>
      <c r="U4" s="8" t="s">
        <v>16</v>
      </c>
      <c r="V4" s="6" t="s">
        <v>15</v>
      </c>
      <c r="W4" s="6" t="s">
        <v>16</v>
      </c>
      <c r="X4" s="7" t="s">
        <v>15</v>
      </c>
      <c r="Y4" s="8" t="s">
        <v>16</v>
      </c>
      <c r="Z4" s="6" t="s">
        <v>15</v>
      </c>
      <c r="AA4" s="6" t="s">
        <v>16</v>
      </c>
    </row>
    <row r="5" spans="2:29" ht="30" customHeight="1" x14ac:dyDescent="0.3">
      <c r="B5" s="118" t="s">
        <v>17</v>
      </c>
      <c r="C5" s="150" t="s">
        <v>102</v>
      </c>
      <c r="D5" s="152" t="s">
        <v>165</v>
      </c>
      <c r="E5" s="9" t="s">
        <v>18</v>
      </c>
      <c r="F5" s="10">
        <v>3</v>
      </c>
      <c r="G5" s="190" t="s">
        <v>19</v>
      </c>
      <c r="H5" s="112"/>
      <c r="I5" s="133">
        <f>1.027*((H5*$F5*$F6)+(H5*0.2*$F7)+(H5*0.1*$F8)+(H8*$F9))</f>
        <v>0</v>
      </c>
      <c r="J5" s="112">
        <v>0</v>
      </c>
      <c r="K5" s="133">
        <f>1.056*((J5*$F5*$F6)+(J5*0.2*$F7)+(J5*0.1*$F8)+(J8*$F9))</f>
        <v>0</v>
      </c>
      <c r="L5" s="137">
        <v>0</v>
      </c>
      <c r="M5" s="133">
        <f>1.083*((L5*$F5*$F6)+(L5*0.2*$F7)+(L5*0.1*$F8)+(L8*$F9))</f>
        <v>0</v>
      </c>
      <c r="N5" s="112">
        <v>0</v>
      </c>
      <c r="O5" s="133">
        <f>1.11*((N5*$F5*$F6)+(N5*0.2*$F7)+(N5*0.1*$F8)+(N8*$F9))</f>
        <v>0</v>
      </c>
      <c r="P5" s="137">
        <v>0</v>
      </c>
      <c r="Q5" s="133">
        <f>1.14*((P5*$F5*$F6)+(P5*0.2*$F7)+(P5*0.1*$F8)+(P8*$F9))</f>
        <v>0</v>
      </c>
      <c r="R5" s="112">
        <v>0</v>
      </c>
      <c r="S5" s="133">
        <f>1.172*((R5*$F5*$F6)+(R5*0.2*$F7)+(R5*0.1*$F8)+(R8*$F9))</f>
        <v>0</v>
      </c>
      <c r="T5" s="137">
        <v>0</v>
      </c>
      <c r="U5" s="133">
        <f>1.206*((T5*$F5*$F6)+(T5*0.2*$F7)+(T5*0.1*$F8)+(T8*$F9))</f>
        <v>0</v>
      </c>
      <c r="V5" s="112">
        <v>0</v>
      </c>
      <c r="W5" s="133">
        <f>1.242*((V5*$F5*$F6)+(V5*0.2*$F7)+(V5*0.1*$F8)+(V8*$F9))</f>
        <v>0</v>
      </c>
      <c r="X5" s="137">
        <v>0</v>
      </c>
      <c r="Y5" s="140">
        <f>(X5*$F5*$F6)+(X5*0.2*$F7)+(X5*0.1*$F8)+(X8*$F9)</f>
        <v>0</v>
      </c>
      <c r="Z5" s="112">
        <v>0</v>
      </c>
      <c r="AA5" s="133">
        <f>(Z5*$F5*$F6)+(Z5*0.2*$F7)+(Z5*0.1*$F8)+(Z8*$F9)</f>
        <v>0</v>
      </c>
      <c r="AB5" s="3"/>
      <c r="AC5" s="3"/>
    </row>
    <row r="6" spans="2:29" ht="30" customHeight="1" x14ac:dyDescent="0.3">
      <c r="B6" s="119"/>
      <c r="C6" s="151"/>
      <c r="D6" s="153"/>
      <c r="E6" s="11" t="s">
        <v>20</v>
      </c>
      <c r="F6" s="12">
        <f>$D$1*Rates!H6</f>
        <v>223.965</v>
      </c>
      <c r="G6" s="191"/>
      <c r="H6" s="135"/>
      <c r="I6" s="134"/>
      <c r="J6" s="135"/>
      <c r="K6" s="134"/>
      <c r="L6" s="138"/>
      <c r="M6" s="134"/>
      <c r="N6" s="135"/>
      <c r="O6" s="134"/>
      <c r="P6" s="138"/>
      <c r="Q6" s="134"/>
      <c r="R6" s="135"/>
      <c r="S6" s="134"/>
      <c r="T6" s="138"/>
      <c r="U6" s="134"/>
      <c r="V6" s="135"/>
      <c r="W6" s="134"/>
      <c r="X6" s="138"/>
      <c r="Y6" s="141"/>
      <c r="Z6" s="135"/>
      <c r="AA6" s="134"/>
      <c r="AB6" s="3"/>
      <c r="AC6" s="3"/>
    </row>
    <row r="7" spans="2:29" ht="30" customHeight="1" x14ac:dyDescent="0.3">
      <c r="B7" s="119"/>
      <c r="C7" s="151"/>
      <c r="D7" s="153"/>
      <c r="E7" s="11" t="s">
        <v>21</v>
      </c>
      <c r="F7" s="12">
        <f>$D$1*Rates!I6</f>
        <v>384.06600000000003</v>
      </c>
      <c r="G7" s="192"/>
      <c r="H7" s="136"/>
      <c r="I7" s="134"/>
      <c r="J7" s="136"/>
      <c r="K7" s="134"/>
      <c r="L7" s="139"/>
      <c r="M7" s="134"/>
      <c r="N7" s="136"/>
      <c r="O7" s="134"/>
      <c r="P7" s="139"/>
      <c r="Q7" s="134"/>
      <c r="R7" s="136"/>
      <c r="S7" s="134"/>
      <c r="T7" s="139"/>
      <c r="U7" s="134"/>
      <c r="V7" s="136"/>
      <c r="W7" s="134"/>
      <c r="X7" s="139"/>
      <c r="Y7" s="141"/>
      <c r="Z7" s="136"/>
      <c r="AA7" s="134"/>
      <c r="AB7" s="3"/>
      <c r="AC7" s="3"/>
    </row>
    <row r="8" spans="2:29" ht="30" customHeight="1" x14ac:dyDescent="0.3">
      <c r="B8" s="119"/>
      <c r="C8" s="151"/>
      <c r="D8" s="153"/>
      <c r="E8" s="11" t="s">
        <v>22</v>
      </c>
      <c r="F8" s="12">
        <f>$D$1*Rates!J6</f>
        <v>856.56600000000003</v>
      </c>
      <c r="G8" s="142" t="s">
        <v>23</v>
      </c>
      <c r="H8" s="144"/>
      <c r="I8" s="134"/>
      <c r="J8" s="144">
        <v>0</v>
      </c>
      <c r="K8" s="134"/>
      <c r="L8" s="145">
        <v>0</v>
      </c>
      <c r="M8" s="134"/>
      <c r="N8" s="144">
        <v>0</v>
      </c>
      <c r="O8" s="134"/>
      <c r="P8" s="145">
        <v>0</v>
      </c>
      <c r="Q8" s="134"/>
      <c r="R8" s="144">
        <v>0</v>
      </c>
      <c r="S8" s="134"/>
      <c r="T8" s="145">
        <v>0</v>
      </c>
      <c r="U8" s="134"/>
      <c r="V8" s="144">
        <v>0</v>
      </c>
      <c r="W8" s="134"/>
      <c r="X8" s="145">
        <v>0</v>
      </c>
      <c r="Y8" s="141"/>
      <c r="Z8" s="144">
        <v>0</v>
      </c>
      <c r="AA8" s="134"/>
      <c r="AB8" s="3"/>
      <c r="AC8" s="3"/>
    </row>
    <row r="9" spans="2:29" ht="30" customHeight="1" x14ac:dyDescent="0.3">
      <c r="B9" s="119"/>
      <c r="C9" s="151"/>
      <c r="D9" s="153"/>
      <c r="E9" s="146" t="s">
        <v>24</v>
      </c>
      <c r="F9" s="148">
        <f>$D$1*Rates!K6</f>
        <v>843.06600000000003</v>
      </c>
      <c r="G9" s="142"/>
      <c r="H9" s="135"/>
      <c r="I9" s="134"/>
      <c r="J9" s="135"/>
      <c r="K9" s="134"/>
      <c r="L9" s="138"/>
      <c r="M9" s="134"/>
      <c r="N9" s="135"/>
      <c r="O9" s="134"/>
      <c r="P9" s="138"/>
      <c r="Q9" s="134"/>
      <c r="R9" s="135"/>
      <c r="S9" s="134"/>
      <c r="T9" s="138"/>
      <c r="U9" s="134"/>
      <c r="V9" s="135"/>
      <c r="W9" s="134"/>
      <c r="X9" s="138"/>
      <c r="Y9" s="141"/>
      <c r="Z9" s="135"/>
      <c r="AA9" s="134"/>
      <c r="AB9" s="3"/>
      <c r="AC9" s="3"/>
    </row>
    <row r="10" spans="2:29" ht="30" customHeight="1" thickBot="1" x14ac:dyDescent="0.35">
      <c r="B10" s="119"/>
      <c r="C10" s="151"/>
      <c r="D10" s="153"/>
      <c r="E10" s="147"/>
      <c r="F10" s="149">
        <f>$D$1*[1]Rates!J8</f>
        <v>960.25500000000011</v>
      </c>
      <c r="G10" s="143"/>
      <c r="H10" s="135"/>
      <c r="I10" s="134"/>
      <c r="J10" s="135"/>
      <c r="K10" s="134"/>
      <c r="L10" s="138"/>
      <c r="M10" s="134"/>
      <c r="N10" s="135"/>
      <c r="O10" s="134"/>
      <c r="P10" s="138"/>
      <c r="Q10" s="134"/>
      <c r="R10" s="135"/>
      <c r="S10" s="134"/>
      <c r="T10" s="138"/>
      <c r="U10" s="134"/>
      <c r="V10" s="135"/>
      <c r="W10" s="134"/>
      <c r="X10" s="138"/>
      <c r="Y10" s="141"/>
      <c r="Z10" s="135"/>
      <c r="AA10" s="134"/>
      <c r="AB10" s="3"/>
      <c r="AC10" s="3"/>
    </row>
    <row r="11" spans="2:29" ht="30" customHeight="1" x14ac:dyDescent="0.3">
      <c r="B11" s="119"/>
      <c r="C11" s="150" t="s">
        <v>90</v>
      </c>
      <c r="D11" s="181" t="s">
        <v>166</v>
      </c>
      <c r="E11" s="9" t="s">
        <v>18</v>
      </c>
      <c r="F11" s="10">
        <v>3</v>
      </c>
      <c r="G11" s="190" t="s">
        <v>211</v>
      </c>
      <c r="H11" s="112"/>
      <c r="I11" s="133">
        <f>1.027*((H11*$F11*$F12)+(H11*0.2*$F13)+(H11*0.1*$F14)+(H14*$F15))</f>
        <v>0</v>
      </c>
      <c r="J11" s="112">
        <v>0</v>
      </c>
      <c r="K11" s="133">
        <f>1.056*((J11*$F11*$F12)+(J11*0.2*$F13)+(J11*0.1*$F14)+(J14*$F15))</f>
        <v>0</v>
      </c>
      <c r="L11" s="137">
        <v>0</v>
      </c>
      <c r="M11" s="133">
        <f>1.083*((L11*$F11*$F12)+(L11*0.2*$F13)+(L11*0.1*$F14)+(L14*$F15))</f>
        <v>0</v>
      </c>
      <c r="N11" s="112">
        <v>0</v>
      </c>
      <c r="O11" s="133">
        <f>1.11*((N11*$F11*$F12)+(N11*0.2*$F13)+(N11*0.1*$F14)+(N14*$F15))</f>
        <v>0</v>
      </c>
      <c r="P11" s="137">
        <v>0</v>
      </c>
      <c r="Q11" s="133">
        <f>1.14*((P11*$F11*$F12)+(P11*0.2*$F13)+(P11*0.1*$F14)+(P14*$F15))</f>
        <v>0</v>
      </c>
      <c r="R11" s="112">
        <v>0</v>
      </c>
      <c r="S11" s="133">
        <f>1.172*((R11*$F11*$F12)+(R11*0.2*$F13)+(R11*0.1*$F14)+(R14*$F15))</f>
        <v>0</v>
      </c>
      <c r="T11" s="137">
        <v>0</v>
      </c>
      <c r="U11" s="133">
        <f>1.206*((T11*$F11*$F12)+(T11*0.2*$F13)+(T11*0.1*$F14)+(T14*$F15))</f>
        <v>0</v>
      </c>
      <c r="V11" s="112">
        <v>0</v>
      </c>
      <c r="W11" s="133">
        <f>1.242*((V11*$F11*$F12)+(V11*0.2*$F13)+(V11*0.1*$F14)+(V14*$F15))</f>
        <v>0</v>
      </c>
      <c r="X11" s="137">
        <v>0</v>
      </c>
      <c r="Y11" s="140">
        <f>(X11*$F11*$F12)+(X11*0.2*$F13)+(X11*0.1*$F14)+(X14*$F15)</f>
        <v>0</v>
      </c>
      <c r="Z11" s="112">
        <v>0</v>
      </c>
      <c r="AA11" s="133">
        <f>(Z11*$F11*$F12)+(Z11*0.2*$F13)+(Z11*0.1*$F14)+(Z14*$F15)</f>
        <v>0</v>
      </c>
      <c r="AB11" s="3"/>
      <c r="AC11" s="3"/>
    </row>
    <row r="12" spans="2:29" ht="30" customHeight="1" x14ac:dyDescent="0.3">
      <c r="B12" s="119"/>
      <c r="C12" s="151"/>
      <c r="D12" s="193"/>
      <c r="E12" s="11" t="s">
        <v>20</v>
      </c>
      <c r="F12" s="12">
        <f>$D$1*Rates!H7</f>
        <v>223.965</v>
      </c>
      <c r="G12" s="191"/>
      <c r="H12" s="135"/>
      <c r="I12" s="134"/>
      <c r="J12" s="135"/>
      <c r="K12" s="134"/>
      <c r="L12" s="138"/>
      <c r="M12" s="134"/>
      <c r="N12" s="135"/>
      <c r="O12" s="134"/>
      <c r="P12" s="138"/>
      <c r="Q12" s="134"/>
      <c r="R12" s="135"/>
      <c r="S12" s="134"/>
      <c r="T12" s="138"/>
      <c r="U12" s="134"/>
      <c r="V12" s="135"/>
      <c r="W12" s="134"/>
      <c r="X12" s="138"/>
      <c r="Y12" s="141"/>
      <c r="Z12" s="135"/>
      <c r="AA12" s="134"/>
      <c r="AB12" s="3"/>
      <c r="AC12" s="3"/>
    </row>
    <row r="13" spans="2:29" ht="30" customHeight="1" x14ac:dyDescent="0.3">
      <c r="B13" s="119"/>
      <c r="C13" s="151"/>
      <c r="D13" s="193"/>
      <c r="E13" s="11" t="s">
        <v>21</v>
      </c>
      <c r="F13" s="12">
        <f>$D$1*Rates!I7</f>
        <v>384.06600000000003</v>
      </c>
      <c r="G13" s="192"/>
      <c r="H13" s="136"/>
      <c r="I13" s="134"/>
      <c r="J13" s="136"/>
      <c r="K13" s="134"/>
      <c r="L13" s="139"/>
      <c r="M13" s="134"/>
      <c r="N13" s="136"/>
      <c r="O13" s="134"/>
      <c r="P13" s="139"/>
      <c r="Q13" s="134"/>
      <c r="R13" s="136"/>
      <c r="S13" s="134"/>
      <c r="T13" s="139"/>
      <c r="U13" s="134"/>
      <c r="V13" s="136"/>
      <c r="W13" s="134"/>
      <c r="X13" s="139"/>
      <c r="Y13" s="141"/>
      <c r="Z13" s="136"/>
      <c r="AA13" s="134"/>
      <c r="AB13" s="3"/>
      <c r="AC13" s="3"/>
    </row>
    <row r="14" spans="2:29" ht="30" customHeight="1" x14ac:dyDescent="0.3">
      <c r="B14" s="119"/>
      <c r="C14" s="151"/>
      <c r="D14" s="193"/>
      <c r="E14" s="11" t="s">
        <v>22</v>
      </c>
      <c r="F14" s="12">
        <f>$D$1*Rates!J7</f>
        <v>960.25500000000011</v>
      </c>
      <c r="G14" s="142" t="s">
        <v>212</v>
      </c>
      <c r="H14" s="144"/>
      <c r="I14" s="134"/>
      <c r="J14" s="144">
        <v>0</v>
      </c>
      <c r="K14" s="134"/>
      <c r="L14" s="145">
        <v>0</v>
      </c>
      <c r="M14" s="134"/>
      <c r="N14" s="144">
        <v>0</v>
      </c>
      <c r="O14" s="134"/>
      <c r="P14" s="145">
        <v>0</v>
      </c>
      <c r="Q14" s="134"/>
      <c r="R14" s="144">
        <v>0</v>
      </c>
      <c r="S14" s="134"/>
      <c r="T14" s="145">
        <v>0</v>
      </c>
      <c r="U14" s="134"/>
      <c r="V14" s="144">
        <v>0</v>
      </c>
      <c r="W14" s="134"/>
      <c r="X14" s="145">
        <v>0</v>
      </c>
      <c r="Y14" s="141"/>
      <c r="Z14" s="144">
        <v>0</v>
      </c>
      <c r="AA14" s="134"/>
      <c r="AB14" s="3"/>
      <c r="AC14" s="3"/>
    </row>
    <row r="15" spans="2:29" ht="30" customHeight="1" x14ac:dyDescent="0.3">
      <c r="B15" s="119"/>
      <c r="C15" s="151"/>
      <c r="D15" s="193"/>
      <c r="E15" s="146" t="s">
        <v>24</v>
      </c>
      <c r="F15" s="148">
        <f>$D$1*Rates!K7</f>
        <v>946.75500000000011</v>
      </c>
      <c r="G15" s="142"/>
      <c r="H15" s="135"/>
      <c r="I15" s="134"/>
      <c r="J15" s="135"/>
      <c r="K15" s="134"/>
      <c r="L15" s="138"/>
      <c r="M15" s="134"/>
      <c r="N15" s="135"/>
      <c r="O15" s="134"/>
      <c r="P15" s="138"/>
      <c r="Q15" s="134"/>
      <c r="R15" s="135"/>
      <c r="S15" s="134"/>
      <c r="T15" s="138"/>
      <c r="U15" s="134"/>
      <c r="V15" s="135"/>
      <c r="W15" s="134"/>
      <c r="X15" s="138"/>
      <c r="Y15" s="141"/>
      <c r="Z15" s="135"/>
      <c r="AA15" s="134"/>
      <c r="AB15" s="3"/>
      <c r="AC15" s="3"/>
    </row>
    <row r="16" spans="2:29" ht="30" customHeight="1" thickBot="1" x14ac:dyDescent="0.35">
      <c r="B16" s="119"/>
      <c r="C16" s="151"/>
      <c r="D16" s="182"/>
      <c r="E16" s="147"/>
      <c r="F16" s="149">
        <f>$D$1*[1]Rates!J15</f>
        <v>1026.8910000000001</v>
      </c>
      <c r="G16" s="143"/>
      <c r="H16" s="135"/>
      <c r="I16" s="134"/>
      <c r="J16" s="135"/>
      <c r="K16" s="134"/>
      <c r="L16" s="138"/>
      <c r="M16" s="134"/>
      <c r="N16" s="135"/>
      <c r="O16" s="134"/>
      <c r="P16" s="138"/>
      <c r="Q16" s="134"/>
      <c r="R16" s="135"/>
      <c r="S16" s="134"/>
      <c r="T16" s="138"/>
      <c r="U16" s="134"/>
      <c r="V16" s="135"/>
      <c r="W16" s="134"/>
      <c r="X16" s="138"/>
      <c r="Y16" s="141"/>
      <c r="Z16" s="135"/>
      <c r="AA16" s="134"/>
      <c r="AB16" s="3"/>
      <c r="AC16" s="3"/>
    </row>
    <row r="17" spans="2:29" ht="30" customHeight="1" x14ac:dyDescent="0.3">
      <c r="B17" s="119"/>
      <c r="C17" s="150" t="s">
        <v>91</v>
      </c>
      <c r="D17" s="152" t="s">
        <v>167</v>
      </c>
      <c r="E17" s="9" t="s">
        <v>18</v>
      </c>
      <c r="F17" s="10">
        <v>6</v>
      </c>
      <c r="G17" s="190" t="s">
        <v>213</v>
      </c>
      <c r="H17" s="112"/>
      <c r="I17" s="133">
        <f>1.027*((H17*$F17*$F18)+(H17*0.2*$F19)+(H17*0.1*$F20)+(H20*$F21))</f>
        <v>0</v>
      </c>
      <c r="J17" s="112">
        <v>0</v>
      </c>
      <c r="K17" s="133">
        <f>1.056*((J17*$F17*$F18)+(J17*0.2*$F19)+(J17*0.1*$F20)+(J20*$F21))</f>
        <v>0</v>
      </c>
      <c r="L17" s="137">
        <v>0</v>
      </c>
      <c r="M17" s="133">
        <f>1.083*((L17*$F17*$F18)+(L17*0.2*$F19)+(L17*0.1*$F20)+(L20*$F21))</f>
        <v>0</v>
      </c>
      <c r="N17" s="112">
        <v>0</v>
      </c>
      <c r="O17" s="133">
        <f>1.11*((N17*$F17*$F18)+(N17*0.2*$F19)+(N17*0.1*$F20)+(N20*$F21))</f>
        <v>0</v>
      </c>
      <c r="P17" s="137">
        <v>0</v>
      </c>
      <c r="Q17" s="133">
        <f>1.14*((P17*$F17*$F18)+(P17*0.2*$F19)+(P17*0.1*$F20)+(P20*$F21))</f>
        <v>0</v>
      </c>
      <c r="R17" s="112">
        <v>0</v>
      </c>
      <c r="S17" s="133">
        <f>1.172*((R17*$F17*$F18)+(R17*0.2*$F19)+(R17*0.1*$F20)+(R20*$F21))</f>
        <v>0</v>
      </c>
      <c r="T17" s="137">
        <v>0</v>
      </c>
      <c r="U17" s="133">
        <f>1.206*((T17*$F17*$F18)+(T17*0.2*$F19)+(T17*0.1*$F20)+(T20*$F21))</f>
        <v>0</v>
      </c>
      <c r="V17" s="112">
        <v>0</v>
      </c>
      <c r="W17" s="133">
        <f>1.242*((V17*$F17*$F18)+(V17*0.2*$F19)+(V17*0.1*$F20)+(V20*$F21))</f>
        <v>0</v>
      </c>
      <c r="X17" s="137">
        <v>0</v>
      </c>
      <c r="Y17" s="140">
        <f>(X17*$F17*$F18)+(X17*0.2*$F19)+(X17*0.1*$F20)+(X20*$F21)</f>
        <v>0</v>
      </c>
      <c r="Z17" s="112">
        <v>0</v>
      </c>
      <c r="AA17" s="133">
        <f>(Z17*$F17*$F18)+(Z17*0.2*$F19)+(Z17*0.1*$F20)+(Z20*$F21)</f>
        <v>0</v>
      </c>
      <c r="AB17" s="3"/>
      <c r="AC17" s="3"/>
    </row>
    <row r="18" spans="2:29" ht="30" customHeight="1" x14ac:dyDescent="0.3">
      <c r="B18" s="119"/>
      <c r="C18" s="151"/>
      <c r="D18" s="153"/>
      <c r="E18" s="11" t="s">
        <v>20</v>
      </c>
      <c r="F18" s="12">
        <f>$D$1*Rates!H8</f>
        <v>223.965</v>
      </c>
      <c r="G18" s="191"/>
      <c r="H18" s="135"/>
      <c r="I18" s="134"/>
      <c r="J18" s="135"/>
      <c r="K18" s="134"/>
      <c r="L18" s="138"/>
      <c r="M18" s="134"/>
      <c r="N18" s="135"/>
      <c r="O18" s="134"/>
      <c r="P18" s="138"/>
      <c r="Q18" s="134"/>
      <c r="R18" s="135"/>
      <c r="S18" s="134"/>
      <c r="T18" s="138"/>
      <c r="U18" s="134"/>
      <c r="V18" s="135"/>
      <c r="W18" s="134"/>
      <c r="X18" s="138"/>
      <c r="Y18" s="141"/>
      <c r="Z18" s="135"/>
      <c r="AA18" s="134"/>
      <c r="AB18" s="3"/>
      <c r="AC18" s="3"/>
    </row>
    <row r="19" spans="2:29" ht="30" customHeight="1" x14ac:dyDescent="0.3">
      <c r="B19" s="119"/>
      <c r="C19" s="151"/>
      <c r="D19" s="153"/>
      <c r="E19" s="11" t="s">
        <v>21</v>
      </c>
      <c r="F19" s="12">
        <f>$D$1*Rates!I8</f>
        <v>384.06600000000003</v>
      </c>
      <c r="G19" s="192"/>
      <c r="H19" s="136"/>
      <c r="I19" s="134"/>
      <c r="J19" s="136"/>
      <c r="K19" s="134"/>
      <c r="L19" s="139"/>
      <c r="M19" s="134"/>
      <c r="N19" s="136"/>
      <c r="O19" s="134"/>
      <c r="P19" s="139"/>
      <c r="Q19" s="134"/>
      <c r="R19" s="136"/>
      <c r="S19" s="134"/>
      <c r="T19" s="139"/>
      <c r="U19" s="134"/>
      <c r="V19" s="136"/>
      <c r="W19" s="134"/>
      <c r="X19" s="139"/>
      <c r="Y19" s="141"/>
      <c r="Z19" s="136"/>
      <c r="AA19" s="134"/>
      <c r="AB19" s="3"/>
      <c r="AC19" s="3"/>
    </row>
    <row r="20" spans="2:29" ht="30" customHeight="1" x14ac:dyDescent="0.3">
      <c r="B20" s="119"/>
      <c r="C20" s="151"/>
      <c r="D20" s="153"/>
      <c r="E20" s="11" t="s">
        <v>22</v>
      </c>
      <c r="F20" s="12">
        <f>$D$1*Rates!J8</f>
        <v>960.25500000000011</v>
      </c>
      <c r="G20" s="142" t="s">
        <v>27</v>
      </c>
      <c r="H20" s="144"/>
      <c r="I20" s="134"/>
      <c r="J20" s="144">
        <v>0</v>
      </c>
      <c r="K20" s="134"/>
      <c r="L20" s="145">
        <v>0</v>
      </c>
      <c r="M20" s="134"/>
      <c r="N20" s="144">
        <v>0</v>
      </c>
      <c r="O20" s="134"/>
      <c r="P20" s="145">
        <v>0</v>
      </c>
      <c r="Q20" s="134"/>
      <c r="R20" s="144">
        <v>0</v>
      </c>
      <c r="S20" s="134"/>
      <c r="T20" s="145">
        <v>0</v>
      </c>
      <c r="U20" s="134"/>
      <c r="V20" s="144">
        <v>0</v>
      </c>
      <c r="W20" s="134"/>
      <c r="X20" s="145">
        <v>0</v>
      </c>
      <c r="Y20" s="141"/>
      <c r="Z20" s="144">
        <v>0</v>
      </c>
      <c r="AA20" s="134"/>
      <c r="AB20" s="3"/>
      <c r="AC20" s="3"/>
    </row>
    <row r="21" spans="2:29" ht="30" customHeight="1" x14ac:dyDescent="0.3">
      <c r="B21" s="119"/>
      <c r="C21" s="151"/>
      <c r="D21" s="153"/>
      <c r="E21" s="146" t="s">
        <v>24</v>
      </c>
      <c r="F21" s="148">
        <f>$D$1*Rates!K8</f>
        <v>946.75500000000011</v>
      </c>
      <c r="G21" s="142"/>
      <c r="H21" s="135"/>
      <c r="I21" s="134"/>
      <c r="J21" s="135"/>
      <c r="K21" s="134"/>
      <c r="L21" s="138"/>
      <c r="M21" s="134"/>
      <c r="N21" s="135"/>
      <c r="O21" s="134"/>
      <c r="P21" s="138"/>
      <c r="Q21" s="134"/>
      <c r="R21" s="135"/>
      <c r="S21" s="134"/>
      <c r="T21" s="138"/>
      <c r="U21" s="134"/>
      <c r="V21" s="135"/>
      <c r="W21" s="134"/>
      <c r="X21" s="138"/>
      <c r="Y21" s="141"/>
      <c r="Z21" s="135"/>
      <c r="AA21" s="134"/>
      <c r="AB21" s="3"/>
      <c r="AC21" s="3"/>
    </row>
    <row r="22" spans="2:29" ht="30" customHeight="1" thickBot="1" x14ac:dyDescent="0.35">
      <c r="B22" s="120"/>
      <c r="C22" s="151"/>
      <c r="D22" s="153"/>
      <c r="E22" s="147"/>
      <c r="F22" s="149">
        <f>$D$1*[1]Rates!J20</f>
        <v>772.57912499999998</v>
      </c>
      <c r="G22" s="143"/>
      <c r="H22" s="135"/>
      <c r="I22" s="134"/>
      <c r="J22" s="135"/>
      <c r="K22" s="134"/>
      <c r="L22" s="138"/>
      <c r="M22" s="134"/>
      <c r="N22" s="135"/>
      <c r="O22" s="134"/>
      <c r="P22" s="138"/>
      <c r="Q22" s="134"/>
      <c r="R22" s="135"/>
      <c r="S22" s="134"/>
      <c r="T22" s="138"/>
      <c r="U22" s="134"/>
      <c r="V22" s="135"/>
      <c r="W22" s="134"/>
      <c r="X22" s="138"/>
      <c r="Y22" s="141"/>
      <c r="Z22" s="135"/>
      <c r="AA22" s="134"/>
      <c r="AB22" s="3"/>
      <c r="AC22" s="3"/>
    </row>
    <row r="23" spans="2:29" ht="30" customHeight="1" x14ac:dyDescent="0.3">
      <c r="B23" s="118" t="s">
        <v>28</v>
      </c>
      <c r="C23" s="150" t="s">
        <v>102</v>
      </c>
      <c r="D23" s="152" t="s">
        <v>168</v>
      </c>
      <c r="E23" s="9" t="s">
        <v>18</v>
      </c>
      <c r="F23" s="10">
        <v>3</v>
      </c>
      <c r="G23" s="190" t="s">
        <v>29</v>
      </c>
      <c r="H23" s="112"/>
      <c r="I23" s="133">
        <f>1.027*((H23*$F23*$F24)+(H23*F25))</f>
        <v>0</v>
      </c>
      <c r="J23" s="112">
        <v>0</v>
      </c>
      <c r="K23" s="133">
        <f>1.056*((J23*$F23*$F24)+(J23*0.2*$F25)+(J23*0.1*$F26)+(J26*$F27))</f>
        <v>0</v>
      </c>
      <c r="L23" s="137">
        <v>0</v>
      </c>
      <c r="M23" s="133">
        <f>1.083*((L23*$F23*$F24)+(L23*0.2*$F25)+(L23*0.1*$F26)+(L26*$F27))</f>
        <v>0</v>
      </c>
      <c r="N23" s="112">
        <v>0</v>
      </c>
      <c r="O23" s="133">
        <f>1.11*((N23*$F23*$F24)+(N23*0.2*$F25)+(N23*0.1*$F26)+(N26*$F27))</f>
        <v>0</v>
      </c>
      <c r="P23" s="137">
        <v>0</v>
      </c>
      <c r="Q23" s="133">
        <f>1.14*((P23*$F23*$F24)+(P23*0.2*$F25)+(P23*0.1*$F26)+(P26*$F27))</f>
        <v>0</v>
      </c>
      <c r="R23" s="112">
        <v>0</v>
      </c>
      <c r="S23" s="133">
        <f>1.172*((R23*$F23*$F24)+(R23*0.2*$F25)+(R23*0.1*$F26)+(R26*$F27))</f>
        <v>0</v>
      </c>
      <c r="T23" s="137">
        <v>0</v>
      </c>
      <c r="U23" s="133">
        <f>1.206*((T23*$F23*$F24)+(T23*0.2*$F25)+(T23*0.1*$F26)+(T26*$F27))</f>
        <v>0</v>
      </c>
      <c r="V23" s="112">
        <v>0</v>
      </c>
      <c r="W23" s="133">
        <f>1.242*((V23*$F23*$F24)+(V23*0.2*$F25)+(V23*0.1*$F26)+(V26*$F27))</f>
        <v>0</v>
      </c>
      <c r="X23" s="137">
        <v>0</v>
      </c>
      <c r="Y23" s="140">
        <f>(X23*$F23*$F24)+(X23*0.2*$F25)+(X23*0.1*$F26)+(X26*$F27)</f>
        <v>0</v>
      </c>
      <c r="Z23" s="112">
        <v>0</v>
      </c>
      <c r="AA23" s="133">
        <f>(Z23*$F23*$F24)+(Z23*0.2*$F25)+(Z23*0.1*$F26)+(Z26*$F27)</f>
        <v>0</v>
      </c>
      <c r="AB23" s="3"/>
      <c r="AC23" s="3"/>
    </row>
    <row r="24" spans="2:29" ht="30" customHeight="1" x14ac:dyDescent="0.3">
      <c r="B24" s="119"/>
      <c r="C24" s="151"/>
      <c r="D24" s="153"/>
      <c r="E24" s="11" t="s">
        <v>20</v>
      </c>
      <c r="F24" s="12">
        <f>$D$1*Rates!H9</f>
        <v>597.24900000000002</v>
      </c>
      <c r="G24" s="191"/>
      <c r="H24" s="135"/>
      <c r="I24" s="134"/>
      <c r="J24" s="135"/>
      <c r="K24" s="134"/>
      <c r="L24" s="138"/>
      <c r="M24" s="134"/>
      <c r="N24" s="135"/>
      <c r="O24" s="134"/>
      <c r="P24" s="138"/>
      <c r="Q24" s="134"/>
      <c r="R24" s="135"/>
      <c r="S24" s="134"/>
      <c r="T24" s="138"/>
      <c r="U24" s="134"/>
      <c r="V24" s="135"/>
      <c r="W24" s="134"/>
      <c r="X24" s="138"/>
      <c r="Y24" s="141"/>
      <c r="Z24" s="135"/>
      <c r="AA24" s="134"/>
      <c r="AB24" s="3"/>
      <c r="AC24" s="3"/>
    </row>
    <row r="25" spans="2:29" ht="30" customHeight="1" x14ac:dyDescent="0.3">
      <c r="B25" s="119"/>
      <c r="C25" s="151"/>
      <c r="D25" s="153"/>
      <c r="E25" s="11" t="s">
        <v>21</v>
      </c>
      <c r="F25" s="12">
        <f>$D$1*Rates!I9</f>
        <v>810.71100000000001</v>
      </c>
      <c r="G25" s="192"/>
      <c r="H25" s="136"/>
      <c r="I25" s="134"/>
      <c r="J25" s="136"/>
      <c r="K25" s="134"/>
      <c r="L25" s="139"/>
      <c r="M25" s="134"/>
      <c r="N25" s="136"/>
      <c r="O25" s="134"/>
      <c r="P25" s="139"/>
      <c r="Q25" s="134"/>
      <c r="R25" s="136"/>
      <c r="S25" s="134"/>
      <c r="T25" s="139"/>
      <c r="U25" s="134"/>
      <c r="V25" s="136"/>
      <c r="W25" s="134"/>
      <c r="X25" s="139"/>
      <c r="Y25" s="141"/>
      <c r="Z25" s="136"/>
      <c r="AA25" s="134"/>
      <c r="AB25" s="3"/>
      <c r="AC25" s="3"/>
    </row>
    <row r="26" spans="2:29" ht="30" customHeight="1" x14ac:dyDescent="0.3">
      <c r="B26" s="119"/>
      <c r="C26" s="151"/>
      <c r="D26" s="153"/>
      <c r="E26" s="11" t="s">
        <v>22</v>
      </c>
      <c r="F26" s="12">
        <f>$D$1*Rates!J9</f>
        <v>2481.444</v>
      </c>
      <c r="G26" s="142" t="s">
        <v>30</v>
      </c>
      <c r="H26" s="144"/>
      <c r="I26" s="134"/>
      <c r="J26" s="144">
        <v>0</v>
      </c>
      <c r="K26" s="134"/>
      <c r="L26" s="145">
        <v>0</v>
      </c>
      <c r="M26" s="134"/>
      <c r="N26" s="144">
        <v>0</v>
      </c>
      <c r="O26" s="134"/>
      <c r="P26" s="145">
        <v>0</v>
      </c>
      <c r="Q26" s="134"/>
      <c r="R26" s="144">
        <v>0</v>
      </c>
      <c r="S26" s="134"/>
      <c r="T26" s="145">
        <v>0</v>
      </c>
      <c r="U26" s="134"/>
      <c r="V26" s="144">
        <v>0</v>
      </c>
      <c r="W26" s="134"/>
      <c r="X26" s="145">
        <v>0</v>
      </c>
      <c r="Y26" s="141"/>
      <c r="Z26" s="144">
        <v>0</v>
      </c>
      <c r="AA26" s="134"/>
      <c r="AB26" s="3"/>
      <c r="AC26" s="3"/>
    </row>
    <row r="27" spans="2:29" ht="30" customHeight="1" x14ac:dyDescent="0.3">
      <c r="B27" s="119"/>
      <c r="C27" s="151"/>
      <c r="D27" s="153"/>
      <c r="E27" s="146" t="s">
        <v>24</v>
      </c>
      <c r="F27" s="148">
        <f>$D$1*Rates!K9</f>
        <v>13884.507</v>
      </c>
      <c r="G27" s="142"/>
      <c r="H27" s="135"/>
      <c r="I27" s="134"/>
      <c r="J27" s="135"/>
      <c r="K27" s="134"/>
      <c r="L27" s="138"/>
      <c r="M27" s="134"/>
      <c r="N27" s="135"/>
      <c r="O27" s="134"/>
      <c r="P27" s="138"/>
      <c r="Q27" s="134"/>
      <c r="R27" s="135"/>
      <c r="S27" s="134"/>
      <c r="T27" s="138"/>
      <c r="U27" s="134"/>
      <c r="V27" s="135"/>
      <c r="W27" s="134"/>
      <c r="X27" s="138"/>
      <c r="Y27" s="141"/>
      <c r="Z27" s="135"/>
      <c r="AA27" s="134"/>
      <c r="AB27" s="3"/>
      <c r="AC27" s="3"/>
    </row>
    <row r="28" spans="2:29" ht="30" customHeight="1" thickBot="1" x14ac:dyDescent="0.35">
      <c r="B28" s="119"/>
      <c r="C28" s="151"/>
      <c r="D28" s="153"/>
      <c r="E28" s="147"/>
      <c r="F28" s="149">
        <f>$D$1*[1]Rates!J26</f>
        <v>1598.6992500000001</v>
      </c>
      <c r="G28" s="143"/>
      <c r="H28" s="135"/>
      <c r="I28" s="134"/>
      <c r="J28" s="135"/>
      <c r="K28" s="134"/>
      <c r="L28" s="138"/>
      <c r="M28" s="134"/>
      <c r="N28" s="135"/>
      <c r="O28" s="134"/>
      <c r="P28" s="138"/>
      <c r="Q28" s="134"/>
      <c r="R28" s="135"/>
      <c r="S28" s="134"/>
      <c r="T28" s="138"/>
      <c r="U28" s="134"/>
      <c r="V28" s="135"/>
      <c r="W28" s="134"/>
      <c r="X28" s="138"/>
      <c r="Y28" s="141"/>
      <c r="Z28" s="135"/>
      <c r="AA28" s="134"/>
      <c r="AB28" s="3"/>
      <c r="AC28" s="3"/>
    </row>
    <row r="29" spans="2:29" ht="30" customHeight="1" x14ac:dyDescent="0.3">
      <c r="B29" s="119"/>
      <c r="C29" s="150" t="s">
        <v>90</v>
      </c>
      <c r="D29" s="152" t="s">
        <v>168</v>
      </c>
      <c r="E29" s="9" t="s">
        <v>18</v>
      </c>
      <c r="F29" s="10">
        <v>3</v>
      </c>
      <c r="G29" s="190" t="s">
        <v>214</v>
      </c>
      <c r="H29" s="112"/>
      <c r="I29" s="133">
        <f>1.027*((H29*$F29*$F30)+(H29*0.2*$F31)+(H29*0.1*$F32)+(H32*$F33))</f>
        <v>0</v>
      </c>
      <c r="J29" s="112">
        <v>0</v>
      </c>
      <c r="K29" s="133">
        <f>1.056*((J29*$F29*$F30)+(J29*0.2*$F31)+(J29*0.1*$F32)+(J32*$F33))</f>
        <v>0</v>
      </c>
      <c r="L29" s="137">
        <v>0</v>
      </c>
      <c r="M29" s="133">
        <f>1.083*((L29*$F29*$F30)+(L29*0.2*$F31)+(L29*0.1*$F32)+(L32*$F33))</f>
        <v>0</v>
      </c>
      <c r="N29" s="112">
        <v>0</v>
      </c>
      <c r="O29" s="133">
        <f>1.11*((N29*$F29*$F30)+(N29*0.2*$F31)+(N29*0.1*$F32)+(N32*$F33))</f>
        <v>0</v>
      </c>
      <c r="P29" s="137">
        <v>0</v>
      </c>
      <c r="Q29" s="133">
        <f>1.14*((P29*$F29*$F30)+(P29*0.2*$F31)+(P29*0.1*$F32)+(P32*$F33))</f>
        <v>0</v>
      </c>
      <c r="R29" s="112">
        <v>0</v>
      </c>
      <c r="S29" s="133">
        <f>1.172*((R29*$F29*$F30)+(R29*0.2*$F31)+(R29*0.1*$F32)+(R32*$F33))</f>
        <v>0</v>
      </c>
      <c r="T29" s="137">
        <v>0</v>
      </c>
      <c r="U29" s="133">
        <f>1.206*((T29*$F29*$F30)+(T29*0.2*$F31)+(T29*0.1*$F32)+(T32*$F33))</f>
        <v>0</v>
      </c>
      <c r="V29" s="112">
        <v>0</v>
      </c>
      <c r="W29" s="133">
        <f>1.242*((V29*$F29*$F30)+(V29*0.2*$F31)+(V29*0.1*$F32)+(V32*$F33))</f>
        <v>0</v>
      </c>
      <c r="X29" s="137">
        <v>0</v>
      </c>
      <c r="Y29" s="140">
        <f>(X29*$F29*$F30)+(X29*0.2*$F31)+(X29*0.1*$F32)+(X32*$F33)</f>
        <v>0</v>
      </c>
      <c r="Z29" s="112">
        <v>0</v>
      </c>
      <c r="AA29" s="133">
        <f>(Z29*$F29*$F30)+(Z29*0.2*$F31)+(Z29*0.1*$F32)+(Z32*$F33)</f>
        <v>0</v>
      </c>
      <c r="AB29" s="3"/>
      <c r="AC29" s="3"/>
    </row>
    <row r="30" spans="2:29" ht="30" customHeight="1" x14ac:dyDescent="0.3">
      <c r="B30" s="119"/>
      <c r="C30" s="151"/>
      <c r="D30" s="153"/>
      <c r="E30" s="11" t="s">
        <v>20</v>
      </c>
      <c r="F30" s="12">
        <f>$D$1*Rates!H10</f>
        <v>700.9380000000001</v>
      </c>
      <c r="G30" s="191"/>
      <c r="H30" s="135"/>
      <c r="I30" s="134"/>
      <c r="J30" s="135"/>
      <c r="K30" s="134"/>
      <c r="L30" s="138"/>
      <c r="M30" s="134"/>
      <c r="N30" s="135"/>
      <c r="O30" s="134"/>
      <c r="P30" s="138"/>
      <c r="Q30" s="134"/>
      <c r="R30" s="135"/>
      <c r="S30" s="134"/>
      <c r="T30" s="138"/>
      <c r="U30" s="134"/>
      <c r="V30" s="135"/>
      <c r="W30" s="134"/>
      <c r="X30" s="138"/>
      <c r="Y30" s="141"/>
      <c r="Z30" s="135"/>
      <c r="AA30" s="134"/>
      <c r="AB30" s="3"/>
      <c r="AC30" s="3"/>
    </row>
    <row r="31" spans="2:29" ht="30" customHeight="1" x14ac:dyDescent="0.3">
      <c r="B31" s="119"/>
      <c r="C31" s="151"/>
      <c r="D31" s="153"/>
      <c r="E31" s="11" t="s">
        <v>21</v>
      </c>
      <c r="F31" s="12">
        <f>$D$1*Rates!I10</f>
        <v>914.4</v>
      </c>
      <c r="G31" s="192"/>
      <c r="H31" s="136"/>
      <c r="I31" s="134"/>
      <c r="J31" s="136"/>
      <c r="K31" s="134"/>
      <c r="L31" s="139"/>
      <c r="M31" s="134"/>
      <c r="N31" s="136"/>
      <c r="O31" s="134"/>
      <c r="P31" s="139"/>
      <c r="Q31" s="134"/>
      <c r="R31" s="136"/>
      <c r="S31" s="134"/>
      <c r="T31" s="139"/>
      <c r="U31" s="134"/>
      <c r="V31" s="136"/>
      <c r="W31" s="134"/>
      <c r="X31" s="139"/>
      <c r="Y31" s="141"/>
      <c r="Z31" s="136"/>
      <c r="AA31" s="134"/>
      <c r="AB31" s="3"/>
      <c r="AC31" s="3"/>
    </row>
    <row r="32" spans="2:29" ht="30" customHeight="1" x14ac:dyDescent="0.3">
      <c r="B32" s="119"/>
      <c r="C32" s="151"/>
      <c r="D32" s="153"/>
      <c r="E32" s="11" t="s">
        <v>22</v>
      </c>
      <c r="F32" s="12">
        <f>$D$1*Rates!J10</f>
        <v>2035.1969999999999</v>
      </c>
      <c r="G32" s="142" t="s">
        <v>215</v>
      </c>
      <c r="H32" s="144"/>
      <c r="I32" s="134"/>
      <c r="J32" s="144">
        <v>0</v>
      </c>
      <c r="K32" s="134"/>
      <c r="L32" s="145">
        <v>0</v>
      </c>
      <c r="M32" s="134"/>
      <c r="N32" s="144">
        <v>0</v>
      </c>
      <c r="O32" s="134"/>
      <c r="P32" s="145">
        <v>0</v>
      </c>
      <c r="Q32" s="134"/>
      <c r="R32" s="144">
        <v>0</v>
      </c>
      <c r="S32" s="134"/>
      <c r="T32" s="145">
        <v>0</v>
      </c>
      <c r="U32" s="134"/>
      <c r="V32" s="144">
        <v>0</v>
      </c>
      <c r="W32" s="134"/>
      <c r="X32" s="145">
        <v>0</v>
      </c>
      <c r="Y32" s="141"/>
      <c r="Z32" s="144">
        <v>0</v>
      </c>
      <c r="AA32" s="134"/>
      <c r="AB32" s="3"/>
      <c r="AC32" s="3"/>
    </row>
    <row r="33" spans="2:29" ht="30" customHeight="1" x14ac:dyDescent="0.3">
      <c r="B33" s="119"/>
      <c r="C33" s="151"/>
      <c r="D33" s="153"/>
      <c r="E33" s="146" t="s">
        <v>24</v>
      </c>
      <c r="F33" s="148">
        <f>$D$1*Rates!K10</f>
        <v>13438.260000000002</v>
      </c>
      <c r="G33" s="142"/>
      <c r="H33" s="135"/>
      <c r="I33" s="134"/>
      <c r="J33" s="135"/>
      <c r="K33" s="134"/>
      <c r="L33" s="138"/>
      <c r="M33" s="134"/>
      <c r="N33" s="135"/>
      <c r="O33" s="134"/>
      <c r="P33" s="138"/>
      <c r="Q33" s="134"/>
      <c r="R33" s="135"/>
      <c r="S33" s="134"/>
      <c r="T33" s="138"/>
      <c r="U33" s="134"/>
      <c r="V33" s="135"/>
      <c r="W33" s="134"/>
      <c r="X33" s="138"/>
      <c r="Y33" s="141"/>
      <c r="Z33" s="135"/>
      <c r="AA33" s="134"/>
      <c r="AB33" s="3"/>
      <c r="AC33" s="3"/>
    </row>
    <row r="34" spans="2:29" ht="30" customHeight="1" thickBot="1" x14ac:dyDescent="0.35">
      <c r="B34" s="119"/>
      <c r="C34" s="151"/>
      <c r="D34" s="153"/>
      <c r="E34" s="147"/>
      <c r="F34" s="149">
        <f>$D$1*[1]Rates!J32</f>
        <v>660.07912499999998</v>
      </c>
      <c r="G34" s="143"/>
      <c r="H34" s="135"/>
      <c r="I34" s="134"/>
      <c r="J34" s="135"/>
      <c r="K34" s="134"/>
      <c r="L34" s="138"/>
      <c r="M34" s="134"/>
      <c r="N34" s="135"/>
      <c r="O34" s="134"/>
      <c r="P34" s="138"/>
      <c r="Q34" s="134"/>
      <c r="R34" s="135"/>
      <c r="S34" s="134"/>
      <c r="T34" s="138"/>
      <c r="U34" s="134"/>
      <c r="V34" s="135"/>
      <c r="W34" s="134"/>
      <c r="X34" s="138"/>
      <c r="Y34" s="141"/>
      <c r="Z34" s="135"/>
      <c r="AA34" s="134"/>
      <c r="AB34" s="3"/>
      <c r="AC34" s="3"/>
    </row>
    <row r="35" spans="2:29" ht="30" customHeight="1" x14ac:dyDescent="0.3">
      <c r="B35" s="119"/>
      <c r="C35" s="150" t="s">
        <v>91</v>
      </c>
      <c r="D35" s="152" t="s">
        <v>168</v>
      </c>
      <c r="E35" s="9" t="s">
        <v>18</v>
      </c>
      <c r="F35" s="10">
        <v>4</v>
      </c>
      <c r="G35" s="190" t="s">
        <v>33</v>
      </c>
      <c r="H35" s="112"/>
      <c r="I35" s="133">
        <f>1.027*((H35*$F35*$F36)+(H35*0.2*$F37)+(H35*0.1*$F38)+(H38*$F39))</f>
        <v>0</v>
      </c>
      <c r="J35" s="112">
        <v>0</v>
      </c>
      <c r="K35" s="133">
        <f>1.056*((J35*$F35*$F36)+(J35*0.2*$F37)+(J35*0.1*$F38)+(J38*$F39))</f>
        <v>0</v>
      </c>
      <c r="L35" s="137">
        <v>0</v>
      </c>
      <c r="M35" s="133">
        <f>1.083*((L35*$F35*$F36)+(L35*0.2*$F37)+(L35*0.1*$F38)+(L38*$F39))</f>
        <v>0</v>
      </c>
      <c r="N35" s="112">
        <v>0</v>
      </c>
      <c r="O35" s="133">
        <f>1.11*((N35*$F35*$F36)+(N35*0.2*$F37)+(N35*0.1*$F38)+(N38*$F39))</f>
        <v>0</v>
      </c>
      <c r="P35" s="137">
        <v>0</v>
      </c>
      <c r="Q35" s="133">
        <f>1.14*((P35*$F35*$F36)+(P35*0.2*$F37)+(P35*0.1*$F38)+(P38*$F39))</f>
        <v>0</v>
      </c>
      <c r="R35" s="112">
        <v>0</v>
      </c>
      <c r="S35" s="133">
        <f>1.172*((R35*$F35*$F36)+(R35*0.2*$F37)+(R35*0.1*$F38)+(R38*$F39))</f>
        <v>0</v>
      </c>
      <c r="T35" s="137">
        <v>0</v>
      </c>
      <c r="U35" s="133">
        <f>1.206*((T35*$F35*$F36)+(T35*0.2*$F37)+(T35*0.1*$F38)+(T38*$F39))</f>
        <v>0</v>
      </c>
      <c r="V35" s="112">
        <v>0</v>
      </c>
      <c r="W35" s="133">
        <f>1.242*((V35*$F35*$F36)+(V35*0.2*$F37)+(V35*0.1*$F38)+(V38*$F39))</f>
        <v>0</v>
      </c>
      <c r="X35" s="137">
        <v>0</v>
      </c>
      <c r="Y35" s="140">
        <f>(X35*$F35*$F36)+(X35*0.2*$F37)+(X35*0.1*$F38)+(X38*$F39)</f>
        <v>0</v>
      </c>
      <c r="Z35" s="112">
        <v>0</v>
      </c>
      <c r="AA35" s="133">
        <f>(Z35*$F35*$F36)+(Z35*0.2*$F37)+(Z35*0.1*$F38)+(Z38*$F39)</f>
        <v>0</v>
      </c>
      <c r="AB35" s="3"/>
      <c r="AC35" s="3"/>
    </row>
    <row r="36" spans="2:29" ht="30" customHeight="1" x14ac:dyDescent="0.3">
      <c r="B36" s="119"/>
      <c r="C36" s="151"/>
      <c r="D36" s="153"/>
      <c r="E36" s="11" t="s">
        <v>20</v>
      </c>
      <c r="F36" s="12">
        <f>$D$1*Rates!H11</f>
        <v>700.9380000000001</v>
      </c>
      <c r="G36" s="191"/>
      <c r="H36" s="135"/>
      <c r="I36" s="134"/>
      <c r="J36" s="135"/>
      <c r="K36" s="134"/>
      <c r="L36" s="138"/>
      <c r="M36" s="134"/>
      <c r="N36" s="135"/>
      <c r="O36" s="134"/>
      <c r="P36" s="138"/>
      <c r="Q36" s="134"/>
      <c r="R36" s="135"/>
      <c r="S36" s="134"/>
      <c r="T36" s="138"/>
      <c r="U36" s="134"/>
      <c r="V36" s="135"/>
      <c r="W36" s="134"/>
      <c r="X36" s="138"/>
      <c r="Y36" s="141"/>
      <c r="Z36" s="135"/>
      <c r="AA36" s="134"/>
      <c r="AB36" s="3"/>
      <c r="AC36" s="3"/>
    </row>
    <row r="37" spans="2:29" ht="30" customHeight="1" x14ac:dyDescent="0.3">
      <c r="B37" s="119"/>
      <c r="C37" s="151"/>
      <c r="D37" s="153"/>
      <c r="E37" s="11" t="s">
        <v>21</v>
      </c>
      <c r="F37" s="12">
        <f>$D$1*Rates!I11</f>
        <v>914.4</v>
      </c>
      <c r="G37" s="192"/>
      <c r="H37" s="136"/>
      <c r="I37" s="134"/>
      <c r="J37" s="136"/>
      <c r="K37" s="134"/>
      <c r="L37" s="139"/>
      <c r="M37" s="134"/>
      <c r="N37" s="136"/>
      <c r="O37" s="134"/>
      <c r="P37" s="139"/>
      <c r="Q37" s="134"/>
      <c r="R37" s="136"/>
      <c r="S37" s="134"/>
      <c r="T37" s="139"/>
      <c r="U37" s="134"/>
      <c r="V37" s="136"/>
      <c r="W37" s="134"/>
      <c r="X37" s="139"/>
      <c r="Y37" s="141"/>
      <c r="Z37" s="136"/>
      <c r="AA37" s="134"/>
      <c r="AB37" s="3"/>
      <c r="AC37" s="3"/>
    </row>
    <row r="38" spans="2:29" ht="30" customHeight="1" x14ac:dyDescent="0.3">
      <c r="B38" s="119"/>
      <c r="C38" s="151"/>
      <c r="D38" s="153"/>
      <c r="E38" s="11" t="s">
        <v>22</v>
      </c>
      <c r="F38" s="12">
        <f>$D$1*Rates!J11</f>
        <v>2481.444</v>
      </c>
      <c r="G38" s="142" t="s">
        <v>34</v>
      </c>
      <c r="H38" s="144"/>
      <c r="I38" s="134"/>
      <c r="J38" s="144">
        <v>0</v>
      </c>
      <c r="K38" s="134"/>
      <c r="L38" s="145">
        <v>0</v>
      </c>
      <c r="M38" s="134"/>
      <c r="N38" s="144">
        <v>0</v>
      </c>
      <c r="O38" s="134"/>
      <c r="P38" s="145">
        <v>0</v>
      </c>
      <c r="Q38" s="134"/>
      <c r="R38" s="144">
        <v>0</v>
      </c>
      <c r="S38" s="134"/>
      <c r="T38" s="145">
        <v>0</v>
      </c>
      <c r="U38" s="134"/>
      <c r="V38" s="144">
        <v>0</v>
      </c>
      <c r="W38" s="134"/>
      <c r="X38" s="145">
        <v>0</v>
      </c>
      <c r="Y38" s="141"/>
      <c r="Z38" s="144">
        <v>0</v>
      </c>
      <c r="AA38" s="134"/>
      <c r="AB38" s="3"/>
      <c r="AC38" s="3"/>
    </row>
    <row r="39" spans="2:29" ht="30" customHeight="1" x14ac:dyDescent="0.3">
      <c r="B39" s="119"/>
      <c r="C39" s="151"/>
      <c r="D39" s="153"/>
      <c r="E39" s="146" t="s">
        <v>24</v>
      </c>
      <c r="F39" s="148">
        <f>$D$1*Rates!K11</f>
        <v>13884.507</v>
      </c>
      <c r="G39" s="142"/>
      <c r="H39" s="135"/>
      <c r="I39" s="134"/>
      <c r="J39" s="135"/>
      <c r="K39" s="134"/>
      <c r="L39" s="138"/>
      <c r="M39" s="134"/>
      <c r="N39" s="135"/>
      <c r="O39" s="134"/>
      <c r="P39" s="138"/>
      <c r="Q39" s="134"/>
      <c r="R39" s="135"/>
      <c r="S39" s="134"/>
      <c r="T39" s="138"/>
      <c r="U39" s="134"/>
      <c r="V39" s="135"/>
      <c r="W39" s="134"/>
      <c r="X39" s="138"/>
      <c r="Y39" s="141"/>
      <c r="Z39" s="135"/>
      <c r="AA39" s="134"/>
      <c r="AB39" s="3"/>
      <c r="AC39" s="3"/>
    </row>
    <row r="40" spans="2:29" ht="30" customHeight="1" thickBot="1" x14ac:dyDescent="0.35">
      <c r="B40" s="120"/>
      <c r="C40" s="151"/>
      <c r="D40" s="153"/>
      <c r="E40" s="147"/>
      <c r="F40" s="149">
        <f>$D$1*[1]Rates!J38</f>
        <v>962.0100000000001</v>
      </c>
      <c r="G40" s="143"/>
      <c r="H40" s="135"/>
      <c r="I40" s="134"/>
      <c r="J40" s="135"/>
      <c r="K40" s="134"/>
      <c r="L40" s="138"/>
      <c r="M40" s="134"/>
      <c r="N40" s="135"/>
      <c r="O40" s="134"/>
      <c r="P40" s="138"/>
      <c r="Q40" s="134"/>
      <c r="R40" s="135"/>
      <c r="S40" s="134"/>
      <c r="T40" s="138"/>
      <c r="U40" s="134"/>
      <c r="V40" s="135"/>
      <c r="W40" s="134"/>
      <c r="X40" s="138"/>
      <c r="Y40" s="141"/>
      <c r="Z40" s="135"/>
      <c r="AA40" s="134"/>
      <c r="AB40" s="3"/>
      <c r="AC40" s="3"/>
    </row>
    <row r="41" spans="2:29" ht="30" customHeight="1" x14ac:dyDescent="0.3">
      <c r="B41" s="118" t="s">
        <v>92</v>
      </c>
      <c r="C41" s="150" t="s">
        <v>102</v>
      </c>
      <c r="D41" s="152" t="s">
        <v>169</v>
      </c>
      <c r="E41" s="9" t="s">
        <v>18</v>
      </c>
      <c r="F41" s="10">
        <v>3</v>
      </c>
      <c r="G41" s="154" t="s">
        <v>216</v>
      </c>
      <c r="H41" s="112"/>
      <c r="I41" s="133">
        <f>1.027*((H41*$F41*$F42)+(H41*0.2*$F43)+(H41*0.1*$F44)+(H44*$F45))</f>
        <v>0</v>
      </c>
      <c r="J41" s="112">
        <v>0</v>
      </c>
      <c r="K41" s="133">
        <f>1.056*((J41*$F41*$F42)+(J41*0.2*$F43)+(J41*0.1*$F44)+(J44*$F45))</f>
        <v>0</v>
      </c>
      <c r="L41" s="137">
        <v>0</v>
      </c>
      <c r="M41" s="133">
        <f>1.083*((L41*$F41*$F42)+(L41*0.2*$F43)+(L41*0.1*$F44)+(L44*$F45))</f>
        <v>0</v>
      </c>
      <c r="N41" s="112">
        <v>0</v>
      </c>
      <c r="O41" s="133">
        <f>1.11*((N41*$F41*$F42)+(N41*0.2*$F43)+(N41*0.1*$F44)+(N44*$F45))</f>
        <v>0</v>
      </c>
      <c r="P41" s="137">
        <v>0</v>
      </c>
      <c r="Q41" s="133">
        <f>1.14*((P41*$F41*$F42)+(P41*0.2*$F43)+(P41*0.1*$F44)+(P44*$F45))</f>
        <v>0</v>
      </c>
      <c r="R41" s="112">
        <v>0</v>
      </c>
      <c r="S41" s="133">
        <f>1.172*((R41*$F41*$F42)+(R41*0.2*$F43)+(R41*0.1*$F44)+(R44*$F45))</f>
        <v>0</v>
      </c>
      <c r="T41" s="137">
        <v>0</v>
      </c>
      <c r="U41" s="133">
        <f>1.206*((T41*$F41*$F42)+(T41*0.2*$F43)+(T41*0.1*$F44)+(T44*$F45))</f>
        <v>0</v>
      </c>
      <c r="V41" s="112">
        <v>0</v>
      </c>
      <c r="W41" s="133">
        <f>1.242*((V41*$F41*$F42)+(V41*0.2*$F43)+(V41*0.1*$F44)+(V44*$F45))</f>
        <v>0</v>
      </c>
      <c r="X41" s="137">
        <v>0</v>
      </c>
      <c r="Y41" s="140">
        <f>(X41*$F41*$F42)+(X41*0.2*$F43)+(X41*0.1*$F44)+(X44*$F45)</f>
        <v>0</v>
      </c>
      <c r="Z41" s="112">
        <v>0</v>
      </c>
      <c r="AA41" s="133">
        <f>(Z41*$F41*$F42)+(Z41*0.2*$F43)+(Z41*0.1*$F44)+(Z44*$F45)</f>
        <v>0</v>
      </c>
      <c r="AB41" s="3"/>
      <c r="AC41" s="3"/>
    </row>
    <row r="42" spans="2:29" ht="30" customHeight="1" x14ac:dyDescent="0.3">
      <c r="B42" s="119"/>
      <c r="C42" s="151"/>
      <c r="D42" s="153"/>
      <c r="E42" s="11" t="s">
        <v>20</v>
      </c>
      <c r="F42" s="12">
        <f>$D$1*Rates!H12</f>
        <v>201</v>
      </c>
      <c r="G42" s="142"/>
      <c r="H42" s="135"/>
      <c r="I42" s="134"/>
      <c r="J42" s="135"/>
      <c r="K42" s="134"/>
      <c r="L42" s="138"/>
      <c r="M42" s="134"/>
      <c r="N42" s="135"/>
      <c r="O42" s="134"/>
      <c r="P42" s="138"/>
      <c r="Q42" s="134"/>
      <c r="R42" s="135"/>
      <c r="S42" s="134"/>
      <c r="T42" s="138"/>
      <c r="U42" s="134"/>
      <c r="V42" s="135"/>
      <c r="W42" s="134"/>
      <c r="X42" s="138"/>
      <c r="Y42" s="141"/>
      <c r="Z42" s="135"/>
      <c r="AA42" s="134"/>
      <c r="AB42" s="3"/>
      <c r="AC42" s="3"/>
    </row>
    <row r="43" spans="2:29" ht="30" customHeight="1" x14ac:dyDescent="0.3">
      <c r="B43" s="119"/>
      <c r="C43" s="151"/>
      <c r="D43" s="153"/>
      <c r="E43" s="11" t="s">
        <v>21</v>
      </c>
      <c r="F43" s="12">
        <f>$D$1*Rates!I12</f>
        <v>545</v>
      </c>
      <c r="G43" s="155"/>
      <c r="H43" s="136"/>
      <c r="I43" s="134"/>
      <c r="J43" s="136"/>
      <c r="K43" s="134"/>
      <c r="L43" s="139"/>
      <c r="M43" s="134"/>
      <c r="N43" s="136"/>
      <c r="O43" s="134"/>
      <c r="P43" s="139"/>
      <c r="Q43" s="134"/>
      <c r="R43" s="136"/>
      <c r="S43" s="134"/>
      <c r="T43" s="139"/>
      <c r="U43" s="134"/>
      <c r="V43" s="136"/>
      <c r="W43" s="134"/>
      <c r="X43" s="139"/>
      <c r="Y43" s="141"/>
      <c r="Z43" s="136"/>
      <c r="AA43" s="134"/>
      <c r="AB43" s="3"/>
      <c r="AC43" s="3"/>
    </row>
    <row r="44" spans="2:29" ht="30" customHeight="1" x14ac:dyDescent="0.3">
      <c r="B44" s="119"/>
      <c r="C44" s="151"/>
      <c r="D44" s="153"/>
      <c r="E44" s="11" t="s">
        <v>22</v>
      </c>
      <c r="F44" s="12">
        <f>$D$1*Rates!J12</f>
        <v>976</v>
      </c>
      <c r="G44" s="142" t="s">
        <v>36</v>
      </c>
      <c r="H44" s="144"/>
      <c r="I44" s="134"/>
      <c r="J44" s="144">
        <v>0</v>
      </c>
      <c r="K44" s="134"/>
      <c r="L44" s="145">
        <v>0</v>
      </c>
      <c r="M44" s="134"/>
      <c r="N44" s="144">
        <v>0</v>
      </c>
      <c r="O44" s="134"/>
      <c r="P44" s="145">
        <v>0</v>
      </c>
      <c r="Q44" s="134"/>
      <c r="R44" s="144">
        <v>0</v>
      </c>
      <c r="S44" s="134"/>
      <c r="T44" s="145">
        <v>0</v>
      </c>
      <c r="U44" s="134"/>
      <c r="V44" s="144">
        <v>0</v>
      </c>
      <c r="W44" s="134"/>
      <c r="X44" s="145">
        <v>0</v>
      </c>
      <c r="Y44" s="141"/>
      <c r="Z44" s="144">
        <v>0</v>
      </c>
      <c r="AA44" s="134"/>
      <c r="AB44" s="3"/>
      <c r="AC44" s="3"/>
    </row>
    <row r="45" spans="2:29" ht="30" customHeight="1" x14ac:dyDescent="0.3">
      <c r="B45" s="119"/>
      <c r="C45" s="151"/>
      <c r="D45" s="153"/>
      <c r="E45" s="146" t="s">
        <v>24</v>
      </c>
      <c r="F45" s="148">
        <f>$D$1*Rates!K12</f>
        <v>3827</v>
      </c>
      <c r="G45" s="142"/>
      <c r="H45" s="135"/>
      <c r="I45" s="134"/>
      <c r="J45" s="135"/>
      <c r="K45" s="134"/>
      <c r="L45" s="138"/>
      <c r="M45" s="134"/>
      <c r="N45" s="135"/>
      <c r="O45" s="134"/>
      <c r="P45" s="138"/>
      <c r="Q45" s="134"/>
      <c r="R45" s="135"/>
      <c r="S45" s="134"/>
      <c r="T45" s="138"/>
      <c r="U45" s="134"/>
      <c r="V45" s="135"/>
      <c r="W45" s="134"/>
      <c r="X45" s="138"/>
      <c r="Y45" s="141"/>
      <c r="Z45" s="135"/>
      <c r="AA45" s="134"/>
      <c r="AB45" s="3"/>
      <c r="AC45" s="3"/>
    </row>
    <row r="46" spans="2:29" ht="30" customHeight="1" thickBot="1" x14ac:dyDescent="0.35">
      <c r="B46" s="119"/>
      <c r="C46" s="174"/>
      <c r="D46" s="173"/>
      <c r="E46" s="147"/>
      <c r="F46" s="149">
        <f>$D$1*[1]Rates!J44</f>
        <v>0</v>
      </c>
      <c r="G46" s="143"/>
      <c r="H46" s="113"/>
      <c r="I46" s="160"/>
      <c r="J46" s="113"/>
      <c r="K46" s="134"/>
      <c r="L46" s="189"/>
      <c r="M46" s="134"/>
      <c r="N46" s="113"/>
      <c r="O46" s="134"/>
      <c r="P46" s="189"/>
      <c r="Q46" s="134"/>
      <c r="R46" s="113"/>
      <c r="S46" s="134"/>
      <c r="T46" s="189"/>
      <c r="U46" s="134"/>
      <c r="V46" s="113"/>
      <c r="W46" s="134"/>
      <c r="X46" s="189"/>
      <c r="Y46" s="176"/>
      <c r="Z46" s="113"/>
      <c r="AA46" s="160"/>
      <c r="AB46" s="3"/>
      <c r="AC46" s="3"/>
    </row>
    <row r="47" spans="2:29" ht="30" customHeight="1" x14ac:dyDescent="0.3">
      <c r="B47" s="119"/>
      <c r="C47" s="150" t="s">
        <v>90</v>
      </c>
      <c r="D47" s="152" t="s">
        <v>170</v>
      </c>
      <c r="E47" s="9" t="s">
        <v>18</v>
      </c>
      <c r="F47" s="10">
        <v>4</v>
      </c>
      <c r="G47" s="154" t="s">
        <v>217</v>
      </c>
      <c r="H47" s="112"/>
      <c r="I47" s="133">
        <f>1.027*((H47*$F47*$F48)+(H47*0.2*$F49)+(H47*0.1*$F50)+(H50*$F51))</f>
        <v>0</v>
      </c>
      <c r="J47" s="112">
        <v>0</v>
      </c>
      <c r="K47" s="133">
        <f>1.056*((J47*$F47*$F48)+(J47*0.2*$F49)+(J47*0.1*$F50)+(J50*$F51))</f>
        <v>0</v>
      </c>
      <c r="L47" s="137">
        <v>0</v>
      </c>
      <c r="M47" s="133">
        <f>1.083*((L47*$F47*$F48)+(L47*0.2*$F49)+(L47*0.1*$F50)+(L50*$F51))</f>
        <v>0</v>
      </c>
      <c r="N47" s="112">
        <v>0</v>
      </c>
      <c r="O47" s="133">
        <f>1.11*((N47*$F47*$F48)+(N47*0.2*$F49)+(N47*0.1*$F50)+(N50*$F51))</f>
        <v>0</v>
      </c>
      <c r="P47" s="137">
        <v>0</v>
      </c>
      <c r="Q47" s="133">
        <f>1.14*((P47*$F47*$F48)+(P47*0.2*$F49)+(P47*0.1*$F50)+(P50*$F51))</f>
        <v>0</v>
      </c>
      <c r="R47" s="112">
        <v>0</v>
      </c>
      <c r="S47" s="133">
        <f>1.172*((R47*$F47*$F48)+(R47*0.2*$F49)+(R47*0.1*$F50)+(R50*$F51))</f>
        <v>0</v>
      </c>
      <c r="T47" s="137">
        <v>0</v>
      </c>
      <c r="U47" s="133">
        <f>1.206*((T47*$F47*$F48)+(T47*0.2*$F49)+(T47*0.1*$F50)+(T50*$F51))</f>
        <v>0</v>
      </c>
      <c r="V47" s="112">
        <v>0</v>
      </c>
      <c r="W47" s="133">
        <f>1.242*((V47*$F47*$F48)+(V47*0.2*$F49)+(V47*0.1*$F50)+(V50*$F51))</f>
        <v>0</v>
      </c>
      <c r="X47" s="137">
        <v>0</v>
      </c>
      <c r="Y47" s="140">
        <f>(X47*$F47*$F48)+(X47*0.2*$F49)+(X47*0.1*$F50)+(X50*$F51)</f>
        <v>0</v>
      </c>
      <c r="Z47" s="112">
        <v>0</v>
      </c>
      <c r="AA47" s="133">
        <f>(Z47*$F47*$F48)+(Z47*0.2*$F49)+(Z47*0.1*$F50)+(Z50*$F51)</f>
        <v>0</v>
      </c>
      <c r="AB47" s="3"/>
      <c r="AC47" s="3"/>
    </row>
    <row r="48" spans="2:29" ht="30" customHeight="1" x14ac:dyDescent="0.3">
      <c r="B48" s="119"/>
      <c r="C48" s="151"/>
      <c r="D48" s="153"/>
      <c r="E48" s="11" t="s">
        <v>20</v>
      </c>
      <c r="F48" s="12">
        <f>$D$1*Rates!H13</f>
        <v>201</v>
      </c>
      <c r="G48" s="142"/>
      <c r="H48" s="135"/>
      <c r="I48" s="134"/>
      <c r="J48" s="135"/>
      <c r="K48" s="134"/>
      <c r="L48" s="138"/>
      <c r="M48" s="134"/>
      <c r="N48" s="135"/>
      <c r="O48" s="134"/>
      <c r="P48" s="138"/>
      <c r="Q48" s="134"/>
      <c r="R48" s="135"/>
      <c r="S48" s="134"/>
      <c r="T48" s="138"/>
      <c r="U48" s="134"/>
      <c r="V48" s="135"/>
      <c r="W48" s="134"/>
      <c r="X48" s="138"/>
      <c r="Y48" s="141"/>
      <c r="Z48" s="135"/>
      <c r="AA48" s="134"/>
      <c r="AB48" s="3"/>
      <c r="AC48" s="3"/>
    </row>
    <row r="49" spans="2:29" ht="30" customHeight="1" x14ac:dyDescent="0.3">
      <c r="B49" s="119"/>
      <c r="C49" s="151"/>
      <c r="D49" s="153"/>
      <c r="E49" s="11" t="s">
        <v>21</v>
      </c>
      <c r="F49" s="12">
        <f>$D$1*Rates!I13</f>
        <v>545</v>
      </c>
      <c r="G49" s="155"/>
      <c r="H49" s="136"/>
      <c r="I49" s="134"/>
      <c r="J49" s="136"/>
      <c r="K49" s="134"/>
      <c r="L49" s="139"/>
      <c r="M49" s="134"/>
      <c r="N49" s="136"/>
      <c r="O49" s="134"/>
      <c r="P49" s="139"/>
      <c r="Q49" s="134"/>
      <c r="R49" s="136"/>
      <c r="S49" s="134"/>
      <c r="T49" s="139"/>
      <c r="U49" s="134"/>
      <c r="V49" s="136"/>
      <c r="W49" s="134"/>
      <c r="X49" s="139"/>
      <c r="Y49" s="141"/>
      <c r="Z49" s="136"/>
      <c r="AA49" s="134"/>
      <c r="AB49" s="3"/>
      <c r="AC49" s="3"/>
    </row>
    <row r="50" spans="2:29" ht="30" customHeight="1" x14ac:dyDescent="0.3">
      <c r="B50" s="119"/>
      <c r="C50" s="151"/>
      <c r="D50" s="153"/>
      <c r="E50" s="11" t="s">
        <v>22</v>
      </c>
      <c r="F50" s="12">
        <f>$D$1*Rates!J13</f>
        <v>976</v>
      </c>
      <c r="G50" s="142" t="s">
        <v>218</v>
      </c>
      <c r="H50" s="144"/>
      <c r="I50" s="134"/>
      <c r="J50" s="144">
        <v>0</v>
      </c>
      <c r="K50" s="134"/>
      <c r="L50" s="145">
        <v>0</v>
      </c>
      <c r="M50" s="134"/>
      <c r="N50" s="144">
        <v>0</v>
      </c>
      <c r="O50" s="134"/>
      <c r="P50" s="145">
        <v>0</v>
      </c>
      <c r="Q50" s="134"/>
      <c r="R50" s="144">
        <v>0</v>
      </c>
      <c r="S50" s="134"/>
      <c r="T50" s="145">
        <v>0</v>
      </c>
      <c r="U50" s="134"/>
      <c r="V50" s="144">
        <v>0</v>
      </c>
      <c r="W50" s="134"/>
      <c r="X50" s="145">
        <v>0</v>
      </c>
      <c r="Y50" s="141"/>
      <c r="Z50" s="144">
        <v>0</v>
      </c>
      <c r="AA50" s="134"/>
      <c r="AB50" s="3"/>
      <c r="AC50" s="3"/>
    </row>
    <row r="51" spans="2:29" ht="30" customHeight="1" x14ac:dyDescent="0.3">
      <c r="B51" s="119"/>
      <c r="C51" s="151"/>
      <c r="D51" s="153"/>
      <c r="E51" s="146" t="s">
        <v>24</v>
      </c>
      <c r="F51" s="148">
        <f>$D$1*Rates!K13</f>
        <v>3827</v>
      </c>
      <c r="G51" s="142"/>
      <c r="H51" s="135"/>
      <c r="I51" s="134"/>
      <c r="J51" s="135"/>
      <c r="K51" s="134"/>
      <c r="L51" s="138"/>
      <c r="M51" s="134"/>
      <c r="N51" s="135"/>
      <c r="O51" s="134"/>
      <c r="P51" s="138"/>
      <c r="Q51" s="134"/>
      <c r="R51" s="135"/>
      <c r="S51" s="134"/>
      <c r="T51" s="138"/>
      <c r="U51" s="134"/>
      <c r="V51" s="135"/>
      <c r="W51" s="134"/>
      <c r="X51" s="138"/>
      <c r="Y51" s="141"/>
      <c r="Z51" s="135"/>
      <c r="AA51" s="134"/>
      <c r="AB51" s="3"/>
      <c r="AC51" s="3"/>
    </row>
    <row r="52" spans="2:29" ht="30" customHeight="1" thickBot="1" x14ac:dyDescent="0.35">
      <c r="B52" s="119"/>
      <c r="C52" s="174"/>
      <c r="D52" s="173"/>
      <c r="E52" s="147"/>
      <c r="F52" s="149">
        <f>$D$1*[1]Rates!J44</f>
        <v>0</v>
      </c>
      <c r="G52" s="143"/>
      <c r="H52" s="113"/>
      <c r="I52" s="160"/>
      <c r="J52" s="113"/>
      <c r="K52" s="134"/>
      <c r="L52" s="189"/>
      <c r="M52" s="134"/>
      <c r="N52" s="113"/>
      <c r="O52" s="134"/>
      <c r="P52" s="189"/>
      <c r="Q52" s="134"/>
      <c r="R52" s="113"/>
      <c r="S52" s="134"/>
      <c r="T52" s="189"/>
      <c r="U52" s="134"/>
      <c r="V52" s="113"/>
      <c r="W52" s="134"/>
      <c r="X52" s="189"/>
      <c r="Y52" s="176"/>
      <c r="Z52" s="113"/>
      <c r="AA52" s="160"/>
      <c r="AB52" s="3"/>
      <c r="AC52" s="3"/>
    </row>
    <row r="53" spans="2:29" ht="30" customHeight="1" x14ac:dyDescent="0.3">
      <c r="B53" s="119"/>
      <c r="C53" s="150" t="s">
        <v>91</v>
      </c>
      <c r="D53" s="152" t="s">
        <v>169</v>
      </c>
      <c r="E53" s="9" t="s">
        <v>18</v>
      </c>
      <c r="F53" s="10">
        <v>4</v>
      </c>
      <c r="G53" s="154" t="s">
        <v>35</v>
      </c>
      <c r="H53" s="112"/>
      <c r="I53" s="133">
        <f>1.027*((H53*$F53*$F54)+(H53*0.2*$F55)+(H53*0.1*$F56)+(H56*$F57))</f>
        <v>0</v>
      </c>
      <c r="J53" s="112">
        <v>0</v>
      </c>
      <c r="K53" s="133">
        <f>1.056*((J53*$F53*$F54)+(J53*0.2*$F55)+(J53*0.1*$F56)+(J56*$F57))</f>
        <v>0</v>
      </c>
      <c r="L53" s="137">
        <v>0</v>
      </c>
      <c r="M53" s="133">
        <f>1.083*((L53*$F53*$F54)+(L53*0.2*$F55)+(L53*0.1*$F56)+(L56*$F57))</f>
        <v>0</v>
      </c>
      <c r="N53" s="112">
        <v>0</v>
      </c>
      <c r="O53" s="133">
        <f>1.11*((N53*$F53*$F54)+(N53*0.2*$F55)+(N53*0.1*$F56)+(N56*$F57))</f>
        <v>0</v>
      </c>
      <c r="P53" s="137">
        <v>0</v>
      </c>
      <c r="Q53" s="133">
        <f>1.14*((P53*$F53*$F54)+(P53*0.2*$F55)+(P53*0.1*$F56)+(P56*$F57))</f>
        <v>0</v>
      </c>
      <c r="R53" s="112">
        <v>0</v>
      </c>
      <c r="S53" s="133">
        <f>1.172*((R53*$F53*$F54)+(R53*0.2*$F55)+(R53*0.1*$F56)+(R56*$F57))</f>
        <v>0</v>
      </c>
      <c r="T53" s="137">
        <v>0</v>
      </c>
      <c r="U53" s="133">
        <f>1.206*((T53*$F53*$F54)+(T53*0.2*$F55)+(T53*0.1*$F56)+(T56*$F57))</f>
        <v>0</v>
      </c>
      <c r="V53" s="112">
        <v>0</v>
      </c>
      <c r="W53" s="133">
        <f>1.242*((V53*$F53*$F54)+(V53*0.2*$F55)+(V53*0.1*$F56)+(V56*$F57))</f>
        <v>0</v>
      </c>
      <c r="X53" s="137">
        <v>0</v>
      </c>
      <c r="Y53" s="140">
        <f>(X53*$F53*$F54)+(X53*0.2*$F55)+(X53*0.1*$F56)+(X56*$F57)</f>
        <v>0</v>
      </c>
      <c r="Z53" s="112">
        <v>0</v>
      </c>
      <c r="AA53" s="133">
        <f>(Z53*$F53*$F54)+(Z53*0.2*$F55)+(Z53*0.1*$F56)+(Z56*$F57)</f>
        <v>0</v>
      </c>
      <c r="AB53" s="3"/>
      <c r="AC53" s="3"/>
    </row>
    <row r="54" spans="2:29" ht="30" customHeight="1" x14ac:dyDescent="0.3">
      <c r="B54" s="119"/>
      <c r="C54" s="151"/>
      <c r="D54" s="153"/>
      <c r="E54" s="11" t="s">
        <v>20</v>
      </c>
      <c r="F54" s="12">
        <f>$D$1*Rates!H14</f>
        <v>402.31349999999998</v>
      </c>
      <c r="G54" s="142"/>
      <c r="H54" s="135"/>
      <c r="I54" s="134"/>
      <c r="J54" s="135"/>
      <c r="K54" s="134"/>
      <c r="L54" s="138"/>
      <c r="M54" s="134"/>
      <c r="N54" s="135"/>
      <c r="O54" s="134"/>
      <c r="P54" s="138"/>
      <c r="Q54" s="134"/>
      <c r="R54" s="135"/>
      <c r="S54" s="134"/>
      <c r="T54" s="138"/>
      <c r="U54" s="134"/>
      <c r="V54" s="135"/>
      <c r="W54" s="134"/>
      <c r="X54" s="138"/>
      <c r="Y54" s="141"/>
      <c r="Z54" s="135"/>
      <c r="AA54" s="134"/>
      <c r="AB54" s="3"/>
      <c r="AC54" s="3"/>
    </row>
    <row r="55" spans="2:29" ht="30" customHeight="1" x14ac:dyDescent="0.3">
      <c r="B55" s="119"/>
      <c r="C55" s="151"/>
      <c r="D55" s="153"/>
      <c r="E55" s="11" t="s">
        <v>21</v>
      </c>
      <c r="F55" s="12">
        <f>$D$1*Rates!I14</f>
        <v>1091.4975000000002</v>
      </c>
      <c r="G55" s="155"/>
      <c r="H55" s="136"/>
      <c r="I55" s="134"/>
      <c r="J55" s="136"/>
      <c r="K55" s="134"/>
      <c r="L55" s="139"/>
      <c r="M55" s="134"/>
      <c r="N55" s="136"/>
      <c r="O55" s="134"/>
      <c r="P55" s="139"/>
      <c r="Q55" s="134"/>
      <c r="R55" s="136"/>
      <c r="S55" s="134"/>
      <c r="T55" s="139"/>
      <c r="U55" s="134"/>
      <c r="V55" s="136"/>
      <c r="W55" s="134"/>
      <c r="X55" s="139"/>
      <c r="Y55" s="141"/>
      <c r="Z55" s="136"/>
      <c r="AA55" s="134"/>
      <c r="AB55" s="3"/>
      <c r="AC55" s="3"/>
    </row>
    <row r="56" spans="2:29" ht="30" customHeight="1" x14ac:dyDescent="0.3">
      <c r="B56" s="119"/>
      <c r="C56" s="151"/>
      <c r="D56" s="153"/>
      <c r="E56" s="11" t="s">
        <v>22</v>
      </c>
      <c r="F56" s="12">
        <f>$D$1*Rates!J14</f>
        <v>1952.3384999999998</v>
      </c>
      <c r="G56" s="142" t="s">
        <v>36</v>
      </c>
      <c r="H56" s="144"/>
      <c r="I56" s="134"/>
      <c r="J56" s="144">
        <v>0</v>
      </c>
      <c r="K56" s="134"/>
      <c r="L56" s="145">
        <v>0</v>
      </c>
      <c r="M56" s="134"/>
      <c r="N56" s="144">
        <v>0</v>
      </c>
      <c r="O56" s="134"/>
      <c r="P56" s="145">
        <v>0</v>
      </c>
      <c r="Q56" s="134"/>
      <c r="R56" s="144">
        <v>0</v>
      </c>
      <c r="S56" s="134"/>
      <c r="T56" s="145">
        <v>0</v>
      </c>
      <c r="U56" s="134"/>
      <c r="V56" s="144">
        <v>0</v>
      </c>
      <c r="W56" s="134"/>
      <c r="X56" s="145">
        <v>0</v>
      </c>
      <c r="Y56" s="141"/>
      <c r="Z56" s="144">
        <v>0</v>
      </c>
      <c r="AA56" s="134"/>
      <c r="AB56" s="3"/>
      <c r="AC56" s="3"/>
    </row>
    <row r="57" spans="2:29" ht="30" customHeight="1" x14ac:dyDescent="0.3">
      <c r="B57" s="119"/>
      <c r="C57" s="151"/>
      <c r="D57" s="153"/>
      <c r="E57" s="146" t="s">
        <v>24</v>
      </c>
      <c r="F57" s="148">
        <f>$D$1*Rates!K14</f>
        <v>7653.87</v>
      </c>
      <c r="G57" s="142"/>
      <c r="H57" s="135"/>
      <c r="I57" s="134"/>
      <c r="J57" s="135"/>
      <c r="K57" s="134"/>
      <c r="L57" s="138"/>
      <c r="M57" s="134"/>
      <c r="N57" s="135"/>
      <c r="O57" s="134"/>
      <c r="P57" s="138"/>
      <c r="Q57" s="134"/>
      <c r="R57" s="135"/>
      <c r="S57" s="134"/>
      <c r="T57" s="138"/>
      <c r="U57" s="134"/>
      <c r="V57" s="135"/>
      <c r="W57" s="134"/>
      <c r="X57" s="138"/>
      <c r="Y57" s="141"/>
      <c r="Z57" s="135"/>
      <c r="AA57" s="134"/>
      <c r="AB57" s="3"/>
      <c r="AC57" s="3"/>
    </row>
    <row r="58" spans="2:29" ht="30" customHeight="1" thickBot="1" x14ac:dyDescent="0.35">
      <c r="B58" s="120"/>
      <c r="C58" s="174"/>
      <c r="D58" s="173"/>
      <c r="E58" s="147"/>
      <c r="F58" s="149">
        <f>$D$1*[1]Rates!J50</f>
        <v>0</v>
      </c>
      <c r="G58" s="143"/>
      <c r="H58" s="113"/>
      <c r="I58" s="160"/>
      <c r="J58" s="113"/>
      <c r="K58" s="134"/>
      <c r="L58" s="189"/>
      <c r="M58" s="134"/>
      <c r="N58" s="113"/>
      <c r="O58" s="134"/>
      <c r="P58" s="189"/>
      <c r="Q58" s="134"/>
      <c r="R58" s="113"/>
      <c r="S58" s="134"/>
      <c r="T58" s="189"/>
      <c r="U58" s="134"/>
      <c r="V58" s="113"/>
      <c r="W58" s="134"/>
      <c r="X58" s="189"/>
      <c r="Y58" s="176"/>
      <c r="Z58" s="113"/>
      <c r="AA58" s="160"/>
      <c r="AB58" s="3"/>
      <c r="AC58" s="3"/>
    </row>
    <row r="59" spans="2:29" ht="30" customHeight="1" x14ac:dyDescent="0.3">
      <c r="B59" s="118" t="s">
        <v>37</v>
      </c>
      <c r="C59" s="150" t="s">
        <v>102</v>
      </c>
      <c r="D59" s="152" t="s">
        <v>171</v>
      </c>
      <c r="E59" s="9" t="s">
        <v>18</v>
      </c>
      <c r="F59" s="10">
        <v>3</v>
      </c>
      <c r="G59" s="190" t="s">
        <v>219</v>
      </c>
      <c r="H59" s="112"/>
      <c r="I59" s="133">
        <f>1.027*((H59*$F59*$F60)+(H59*0.2*$F61)+(H59*0.1*$F62)+(H62*$F63))</f>
        <v>0</v>
      </c>
      <c r="J59" s="112">
        <v>0</v>
      </c>
      <c r="K59" s="133">
        <f>1.056*((J59*$F59*$F60)+(J59*0.2*$F61)+(J59*0.1*$F62)+(J62*$F63))</f>
        <v>0</v>
      </c>
      <c r="L59" s="137">
        <v>0</v>
      </c>
      <c r="M59" s="133">
        <f>1.083*((L59*$F59*$F60)+(L59*0.2*$F61)+(L59*0.1*$F62)+(L62*$F63))</f>
        <v>0</v>
      </c>
      <c r="N59" s="112">
        <v>0</v>
      </c>
      <c r="O59" s="133">
        <f>1.11*((N59*$F59*$F60)+(N59*0.2*$F61)+(N59*0.1*$F62)+(N62*$F63))</f>
        <v>0</v>
      </c>
      <c r="P59" s="137">
        <v>0</v>
      </c>
      <c r="Q59" s="133">
        <f>1.14*((P59*$F59*$F60)+(P59*0.2*$F61)+(P59*0.1*$F62)+(P62*$F63))</f>
        <v>0</v>
      </c>
      <c r="R59" s="112">
        <v>0</v>
      </c>
      <c r="S59" s="133">
        <f>1.172*((R59*$F59*$F60)+(R59*0.2*$F61)+(R59*0.1*$F62)+(R62*$F63))</f>
        <v>0</v>
      </c>
      <c r="T59" s="137">
        <v>0</v>
      </c>
      <c r="U59" s="133">
        <f>1.206*((T59*$F59*$F60)+(T59*0.2*$F61)+(T59*0.1*$F62)+(T62*$F63))</f>
        <v>0</v>
      </c>
      <c r="V59" s="112">
        <v>0</v>
      </c>
      <c r="W59" s="133">
        <f>1.242*((V59*$F59*$F60)+(V59*0.2*$F61)+(V59*0.1*$F62)+(V62*$F63))</f>
        <v>0</v>
      </c>
      <c r="X59" s="137">
        <v>0</v>
      </c>
      <c r="Y59" s="140">
        <f>(X59*$F59*$F60)+(X59*0.2*$F61)+(X59*0.1*$F62)+(X62*$F63)</f>
        <v>0</v>
      </c>
      <c r="Z59" s="112">
        <v>0</v>
      </c>
      <c r="AA59" s="133">
        <f>(Z59*$F59*$F60)+(Z59*0.2*$F61)+(Z59*0.1*$F62)+(Z62*$F63)</f>
        <v>0</v>
      </c>
      <c r="AB59" s="3"/>
      <c r="AC59" s="3"/>
    </row>
    <row r="60" spans="2:29" ht="30" customHeight="1" x14ac:dyDescent="0.3">
      <c r="B60" s="119"/>
      <c r="C60" s="151"/>
      <c r="D60" s="153"/>
      <c r="E60" s="11" t="s">
        <v>20</v>
      </c>
      <c r="F60" s="12">
        <f>$D$1*Rates!H15</f>
        <v>295.92900000000003</v>
      </c>
      <c r="G60" s="191"/>
      <c r="H60" s="135"/>
      <c r="I60" s="134"/>
      <c r="J60" s="135"/>
      <c r="K60" s="134"/>
      <c r="L60" s="138"/>
      <c r="M60" s="134"/>
      <c r="N60" s="135"/>
      <c r="O60" s="134"/>
      <c r="P60" s="138"/>
      <c r="Q60" s="134"/>
      <c r="R60" s="135"/>
      <c r="S60" s="134"/>
      <c r="T60" s="138"/>
      <c r="U60" s="134"/>
      <c r="V60" s="135"/>
      <c r="W60" s="134"/>
      <c r="X60" s="138"/>
      <c r="Y60" s="141"/>
      <c r="Z60" s="135"/>
      <c r="AA60" s="134"/>
      <c r="AB60" s="3"/>
      <c r="AC60" s="3"/>
    </row>
    <row r="61" spans="2:29" ht="30" customHeight="1" x14ac:dyDescent="0.3">
      <c r="B61" s="119"/>
      <c r="C61" s="151"/>
      <c r="D61" s="153"/>
      <c r="E61" s="11" t="s">
        <v>21</v>
      </c>
      <c r="F61" s="12">
        <f>$D$1*Rates!I15</f>
        <v>509.39100000000002</v>
      </c>
      <c r="G61" s="192"/>
      <c r="H61" s="136"/>
      <c r="I61" s="134"/>
      <c r="J61" s="136"/>
      <c r="K61" s="134"/>
      <c r="L61" s="139"/>
      <c r="M61" s="134"/>
      <c r="N61" s="136"/>
      <c r="O61" s="134"/>
      <c r="P61" s="139"/>
      <c r="Q61" s="134"/>
      <c r="R61" s="136"/>
      <c r="S61" s="134"/>
      <c r="T61" s="139"/>
      <c r="U61" s="134"/>
      <c r="V61" s="136"/>
      <c r="W61" s="134"/>
      <c r="X61" s="139"/>
      <c r="Y61" s="141"/>
      <c r="Z61" s="136"/>
      <c r="AA61" s="134"/>
      <c r="AB61" s="3"/>
      <c r="AC61" s="3"/>
    </row>
    <row r="62" spans="2:29" ht="30" customHeight="1" x14ac:dyDescent="0.3">
      <c r="B62" s="119"/>
      <c r="C62" s="151"/>
      <c r="D62" s="153"/>
      <c r="E62" s="11" t="s">
        <v>22</v>
      </c>
      <c r="F62" s="12">
        <f>$D$1*Rates!J15</f>
        <v>1026.8910000000001</v>
      </c>
      <c r="G62" s="142" t="s">
        <v>38</v>
      </c>
      <c r="H62" s="144"/>
      <c r="I62" s="134"/>
      <c r="J62" s="144">
        <v>0</v>
      </c>
      <c r="K62" s="134"/>
      <c r="L62" s="145">
        <v>0</v>
      </c>
      <c r="M62" s="134"/>
      <c r="N62" s="144">
        <v>0</v>
      </c>
      <c r="O62" s="134"/>
      <c r="P62" s="145">
        <v>0</v>
      </c>
      <c r="Q62" s="134"/>
      <c r="R62" s="144">
        <v>0</v>
      </c>
      <c r="S62" s="134"/>
      <c r="T62" s="145">
        <v>0</v>
      </c>
      <c r="U62" s="134"/>
      <c r="V62" s="144">
        <v>0</v>
      </c>
      <c r="W62" s="134"/>
      <c r="X62" s="145">
        <v>0</v>
      </c>
      <c r="Y62" s="141"/>
      <c r="Z62" s="144">
        <v>0</v>
      </c>
      <c r="AA62" s="134"/>
      <c r="AB62" s="3"/>
      <c r="AC62" s="3"/>
    </row>
    <row r="63" spans="2:29" ht="30" customHeight="1" x14ac:dyDescent="0.3">
      <c r="B63" s="119"/>
      <c r="C63" s="151"/>
      <c r="D63" s="153"/>
      <c r="E63" s="146" t="s">
        <v>24</v>
      </c>
      <c r="F63" s="148">
        <f>$D$1*Rates!K15</f>
        <v>1045.7460000000001</v>
      </c>
      <c r="G63" s="142"/>
      <c r="H63" s="135"/>
      <c r="I63" s="134"/>
      <c r="J63" s="135"/>
      <c r="K63" s="134"/>
      <c r="L63" s="138"/>
      <c r="M63" s="134"/>
      <c r="N63" s="135"/>
      <c r="O63" s="134"/>
      <c r="P63" s="138"/>
      <c r="Q63" s="134"/>
      <c r="R63" s="135"/>
      <c r="S63" s="134"/>
      <c r="T63" s="138"/>
      <c r="U63" s="134"/>
      <c r="V63" s="135"/>
      <c r="W63" s="134"/>
      <c r="X63" s="138"/>
      <c r="Y63" s="141"/>
      <c r="Z63" s="135"/>
      <c r="AA63" s="134"/>
      <c r="AB63" s="3"/>
      <c r="AC63" s="3"/>
    </row>
    <row r="64" spans="2:29" ht="30" customHeight="1" thickBot="1" x14ac:dyDescent="0.35">
      <c r="B64" s="119"/>
      <c r="C64" s="174"/>
      <c r="D64" s="173"/>
      <c r="E64" s="147"/>
      <c r="F64" s="149">
        <f>$D$1*[1]Rates!J56</f>
        <v>0</v>
      </c>
      <c r="G64" s="143"/>
      <c r="H64" s="113"/>
      <c r="I64" s="160"/>
      <c r="J64" s="113"/>
      <c r="K64" s="134"/>
      <c r="L64" s="189"/>
      <c r="M64" s="134"/>
      <c r="N64" s="113"/>
      <c r="O64" s="134"/>
      <c r="P64" s="189"/>
      <c r="Q64" s="134"/>
      <c r="R64" s="113"/>
      <c r="S64" s="134"/>
      <c r="T64" s="189"/>
      <c r="U64" s="134"/>
      <c r="V64" s="113"/>
      <c r="W64" s="134"/>
      <c r="X64" s="189"/>
      <c r="Y64" s="176"/>
      <c r="Z64" s="113"/>
      <c r="AA64" s="160"/>
      <c r="AB64" s="3"/>
      <c r="AC64" s="3"/>
    </row>
    <row r="65" spans="2:29" ht="30" customHeight="1" x14ac:dyDescent="0.3">
      <c r="B65" s="119"/>
      <c r="C65" s="150" t="s">
        <v>90</v>
      </c>
      <c r="D65" s="152" t="s">
        <v>172</v>
      </c>
      <c r="E65" s="9" t="s">
        <v>18</v>
      </c>
      <c r="F65" s="10">
        <v>3</v>
      </c>
      <c r="G65" s="154" t="s">
        <v>220</v>
      </c>
      <c r="H65" s="112"/>
      <c r="I65" s="133">
        <f>(H65*$F65*$F66)+(H65*0.2*$F67)+(H65*0.1*$F68)+(H68*$F69)</f>
        <v>0</v>
      </c>
      <c r="J65" s="112">
        <v>0</v>
      </c>
      <c r="K65" s="133">
        <f>1.056*((J65*$F65*$F66)+(J65*0.2*$F67)+(J65*0.1*$F68)+(J68*$F69))</f>
        <v>0</v>
      </c>
      <c r="L65" s="137">
        <v>0</v>
      </c>
      <c r="M65" s="133">
        <f>1.083*((L65*$F65*$F66)+(L65*0.2*$F67)+(L65*0.1*$F68)+(L68*$F69))</f>
        <v>0</v>
      </c>
      <c r="N65" s="112">
        <v>0</v>
      </c>
      <c r="O65" s="133">
        <f>1.11*((N65*$F65*$F66)+(N65*0.2*$F67)+(N65*0.1*$F68)+(N68*$F69))</f>
        <v>0</v>
      </c>
      <c r="P65" s="137">
        <v>0</v>
      </c>
      <c r="Q65" s="133">
        <f>1.14*((P65*$F65*$F66)+(P65*0.2*$F67)+(P65*0.1*$F68)+(P68*$F69))</f>
        <v>0</v>
      </c>
      <c r="R65" s="112">
        <v>0</v>
      </c>
      <c r="S65" s="133">
        <f>1.172*((R65*$F65*$F66)+(R65*0.2*$F67)+(R65*0.1*$F68)+(R68*$F69))</f>
        <v>0</v>
      </c>
      <c r="T65" s="137">
        <v>0</v>
      </c>
      <c r="U65" s="133">
        <f>1.206*((T65*$F65*$F66)+(T65*0.2*$F67)+(T65*0.1*$F68)+(T68*$F69))</f>
        <v>0</v>
      </c>
      <c r="V65" s="112">
        <v>0</v>
      </c>
      <c r="W65" s="133">
        <f>1.242*((V65*$F65*$F66)+(V65*0.2*$F67)+(V65*0.1*$F68)+(V68*$F69))</f>
        <v>0</v>
      </c>
      <c r="X65" s="137">
        <v>0</v>
      </c>
      <c r="Y65" s="140">
        <f>(X65*$F65*$F66)+(X65*0.2*$F67)+(X65*0.1*$F68)+(X68*$F69)</f>
        <v>0</v>
      </c>
      <c r="Z65" s="112">
        <v>0</v>
      </c>
      <c r="AA65" s="133">
        <f>(Z65*$F65*$F66)+(Z65*0.2*$F67)+(Z65*0.1*$F68)+(Z68*$F69)</f>
        <v>0</v>
      </c>
      <c r="AB65" s="3"/>
      <c r="AC65" s="3"/>
    </row>
    <row r="66" spans="2:29" ht="30" customHeight="1" x14ac:dyDescent="0.3">
      <c r="B66" s="119"/>
      <c r="C66" s="151"/>
      <c r="D66" s="153"/>
      <c r="E66" s="11" t="s">
        <v>20</v>
      </c>
      <c r="F66" s="12">
        <f>$D$1*Rates!H16</f>
        <v>295.92900000000003</v>
      </c>
      <c r="G66" s="142"/>
      <c r="H66" s="135"/>
      <c r="I66" s="134"/>
      <c r="J66" s="135"/>
      <c r="K66" s="134"/>
      <c r="L66" s="138"/>
      <c r="M66" s="134"/>
      <c r="N66" s="135"/>
      <c r="O66" s="134"/>
      <c r="P66" s="138"/>
      <c r="Q66" s="134"/>
      <c r="R66" s="135"/>
      <c r="S66" s="134"/>
      <c r="T66" s="138"/>
      <c r="U66" s="134"/>
      <c r="V66" s="135"/>
      <c r="W66" s="134"/>
      <c r="X66" s="138"/>
      <c r="Y66" s="141"/>
      <c r="Z66" s="135"/>
      <c r="AA66" s="134"/>
      <c r="AB66" s="3"/>
      <c r="AC66" s="3"/>
    </row>
    <row r="67" spans="2:29" ht="30" customHeight="1" x14ac:dyDescent="0.3">
      <c r="B67" s="119"/>
      <c r="C67" s="151"/>
      <c r="D67" s="153"/>
      <c r="E67" s="11" t="s">
        <v>21</v>
      </c>
      <c r="F67" s="12">
        <f>$D$1*Rates!I16</f>
        <v>509.39100000000002</v>
      </c>
      <c r="G67" s="155"/>
      <c r="H67" s="136"/>
      <c r="I67" s="134"/>
      <c r="J67" s="136"/>
      <c r="K67" s="134"/>
      <c r="L67" s="139"/>
      <c r="M67" s="134"/>
      <c r="N67" s="136"/>
      <c r="O67" s="134"/>
      <c r="P67" s="139"/>
      <c r="Q67" s="134"/>
      <c r="R67" s="136"/>
      <c r="S67" s="134"/>
      <c r="T67" s="139"/>
      <c r="U67" s="134"/>
      <c r="V67" s="136"/>
      <c r="W67" s="134"/>
      <c r="X67" s="139"/>
      <c r="Y67" s="141"/>
      <c r="Z67" s="136"/>
      <c r="AA67" s="134"/>
      <c r="AB67" s="3"/>
      <c r="AC67" s="3"/>
    </row>
    <row r="68" spans="2:29" ht="30" customHeight="1" x14ac:dyDescent="0.3">
      <c r="B68" s="119"/>
      <c r="C68" s="151"/>
      <c r="D68" s="153"/>
      <c r="E68" s="11" t="s">
        <v>22</v>
      </c>
      <c r="F68" s="12">
        <f>$D$1*Rates!J16</f>
        <v>1026.8910000000001</v>
      </c>
      <c r="G68" s="142" t="s">
        <v>221</v>
      </c>
      <c r="H68" s="144"/>
      <c r="I68" s="134"/>
      <c r="J68" s="144">
        <v>0</v>
      </c>
      <c r="K68" s="134"/>
      <c r="L68" s="145">
        <v>0</v>
      </c>
      <c r="M68" s="134"/>
      <c r="N68" s="144">
        <v>0</v>
      </c>
      <c r="O68" s="134"/>
      <c r="P68" s="145">
        <v>0</v>
      </c>
      <c r="Q68" s="134"/>
      <c r="R68" s="144">
        <v>0</v>
      </c>
      <c r="S68" s="134"/>
      <c r="T68" s="145">
        <v>0</v>
      </c>
      <c r="U68" s="134"/>
      <c r="V68" s="144">
        <v>0</v>
      </c>
      <c r="W68" s="134"/>
      <c r="X68" s="145">
        <v>0</v>
      </c>
      <c r="Y68" s="141"/>
      <c r="Z68" s="144">
        <v>0</v>
      </c>
      <c r="AA68" s="134"/>
      <c r="AB68" s="3"/>
      <c r="AC68" s="3"/>
    </row>
    <row r="69" spans="2:29" ht="30" customHeight="1" x14ac:dyDescent="0.3">
      <c r="B69" s="119"/>
      <c r="C69" s="151"/>
      <c r="D69" s="153"/>
      <c r="E69" s="146" t="s">
        <v>24</v>
      </c>
      <c r="F69" s="148">
        <f>$D$1*Rates!K16</f>
        <v>1045.7460000000001</v>
      </c>
      <c r="G69" s="142"/>
      <c r="H69" s="135"/>
      <c r="I69" s="134"/>
      <c r="J69" s="135"/>
      <c r="K69" s="134"/>
      <c r="L69" s="138"/>
      <c r="M69" s="134"/>
      <c r="N69" s="135"/>
      <c r="O69" s="134"/>
      <c r="P69" s="138"/>
      <c r="Q69" s="134"/>
      <c r="R69" s="135"/>
      <c r="S69" s="134"/>
      <c r="T69" s="138"/>
      <c r="U69" s="134"/>
      <c r="V69" s="135"/>
      <c r="W69" s="134"/>
      <c r="X69" s="138"/>
      <c r="Y69" s="141"/>
      <c r="Z69" s="135"/>
      <c r="AA69" s="134"/>
      <c r="AB69" s="3"/>
      <c r="AC69" s="3"/>
    </row>
    <row r="70" spans="2:29" ht="30" customHeight="1" thickBot="1" x14ac:dyDescent="0.35">
      <c r="B70" s="119"/>
      <c r="C70" s="151"/>
      <c r="D70" s="153"/>
      <c r="E70" s="147"/>
      <c r="F70" s="149">
        <f>$D$1*[1]Rates!J62</f>
        <v>0</v>
      </c>
      <c r="G70" s="143"/>
      <c r="H70" s="135"/>
      <c r="I70" s="134"/>
      <c r="J70" s="135"/>
      <c r="K70" s="134"/>
      <c r="L70" s="138"/>
      <c r="M70" s="134"/>
      <c r="N70" s="135"/>
      <c r="O70" s="134"/>
      <c r="P70" s="138"/>
      <c r="Q70" s="134"/>
      <c r="R70" s="135"/>
      <c r="S70" s="134"/>
      <c r="T70" s="138"/>
      <c r="U70" s="134"/>
      <c r="V70" s="135"/>
      <c r="W70" s="134"/>
      <c r="X70" s="138"/>
      <c r="Y70" s="141"/>
      <c r="Z70" s="135"/>
      <c r="AA70" s="134"/>
      <c r="AB70" s="3"/>
      <c r="AC70" s="3"/>
    </row>
    <row r="71" spans="2:29" ht="30" customHeight="1" x14ac:dyDescent="0.3">
      <c r="B71" s="119"/>
      <c r="C71" s="150" t="s">
        <v>91</v>
      </c>
      <c r="D71" s="152" t="s">
        <v>173</v>
      </c>
      <c r="E71" s="9" t="s">
        <v>18</v>
      </c>
      <c r="F71" s="10">
        <v>4</v>
      </c>
      <c r="G71" s="190" t="s">
        <v>41</v>
      </c>
      <c r="H71" s="112"/>
      <c r="I71" s="133">
        <f>1.027*((H71*$F71*$F72)+(H71*0.2*$F73)+(H71*0.1*$F74)+(H74*$F75))</f>
        <v>0</v>
      </c>
      <c r="J71" s="112">
        <v>0</v>
      </c>
      <c r="K71" s="133">
        <f>1.056*((J71*$F71*$F72)+(J71*0.2*$F73)+(J71*0.1*$F74)+(J74*$F75))</f>
        <v>0</v>
      </c>
      <c r="L71" s="137">
        <v>0</v>
      </c>
      <c r="M71" s="133">
        <f>1.083*((L71*$F71*$F72)+(L71*0.2*$F73)+(L71*0.1*$F74)+(L74*$F75))</f>
        <v>0</v>
      </c>
      <c r="N71" s="112">
        <v>0</v>
      </c>
      <c r="O71" s="133">
        <f>1.11*((N71*$F71*$F72)+(N71*0.2*$F73)+(N71*0.1*$F74)+(N74*$F75))</f>
        <v>0</v>
      </c>
      <c r="P71" s="137">
        <v>0</v>
      </c>
      <c r="Q71" s="133">
        <f>1.14*((P71*$F71*$F72)+(P71*0.2*$F73)+(P71*0.1*$F74)+(P74*$F75))</f>
        <v>0</v>
      </c>
      <c r="R71" s="112">
        <v>0</v>
      </c>
      <c r="S71" s="133">
        <f>1.172*((R71*$F71*$F72)+(R71*0.2*$F73)+(R71*0.1*$F74)+(R74*$F75))</f>
        <v>0</v>
      </c>
      <c r="T71" s="137">
        <v>0</v>
      </c>
      <c r="U71" s="133">
        <f>1.206*((T71*$F71*$F72)+(T71*0.2*$F73)+(T71*0.1*$F74)+(T74*$F75))</f>
        <v>0</v>
      </c>
      <c r="V71" s="112">
        <v>0</v>
      </c>
      <c r="W71" s="133">
        <f>1.242*((V71*$F71*$F72)+(V71*0.2*$F73)+(V71*0.1*$F74)+(V74*$F75))</f>
        <v>0</v>
      </c>
      <c r="X71" s="137">
        <v>0</v>
      </c>
      <c r="Y71" s="140">
        <f>(X71*$F71*$F72)+(X71*0.2*$F73)+(X71*0.1*$F74)+(X74*$F75)</f>
        <v>0</v>
      </c>
      <c r="Z71" s="112">
        <v>0</v>
      </c>
      <c r="AA71" s="133">
        <f>(Z71*$F71*$F72)+(Z71*0.2*$F73)+(Z71*0.1*$F74)+(Z74*$F75)</f>
        <v>0</v>
      </c>
      <c r="AB71" s="3"/>
      <c r="AC71" s="3"/>
    </row>
    <row r="72" spans="2:29" ht="30" customHeight="1" x14ac:dyDescent="0.3">
      <c r="B72" s="119"/>
      <c r="C72" s="151"/>
      <c r="D72" s="153"/>
      <c r="E72" s="11" t="s">
        <v>20</v>
      </c>
      <c r="F72" s="12">
        <f>$D$1*Rates!H17</f>
        <v>295.92900000000003</v>
      </c>
      <c r="G72" s="191"/>
      <c r="H72" s="135"/>
      <c r="I72" s="134"/>
      <c r="J72" s="135"/>
      <c r="K72" s="134"/>
      <c r="L72" s="138"/>
      <c r="M72" s="134"/>
      <c r="N72" s="135"/>
      <c r="O72" s="134"/>
      <c r="P72" s="138"/>
      <c r="Q72" s="134"/>
      <c r="R72" s="135"/>
      <c r="S72" s="134"/>
      <c r="T72" s="138"/>
      <c r="U72" s="134"/>
      <c r="V72" s="135"/>
      <c r="W72" s="134"/>
      <c r="X72" s="138"/>
      <c r="Y72" s="141"/>
      <c r="Z72" s="135"/>
      <c r="AA72" s="134"/>
      <c r="AB72" s="3"/>
      <c r="AC72" s="3"/>
    </row>
    <row r="73" spans="2:29" ht="30" customHeight="1" x14ac:dyDescent="0.3">
      <c r="B73" s="119"/>
      <c r="C73" s="151"/>
      <c r="D73" s="153"/>
      <c r="E73" s="11" t="s">
        <v>21</v>
      </c>
      <c r="F73" s="12">
        <f>$D$1*Rates!I17</f>
        <v>509.39100000000002</v>
      </c>
      <c r="G73" s="192"/>
      <c r="H73" s="136"/>
      <c r="I73" s="134"/>
      <c r="J73" s="136"/>
      <c r="K73" s="134"/>
      <c r="L73" s="139"/>
      <c r="M73" s="134"/>
      <c r="N73" s="136"/>
      <c r="O73" s="134"/>
      <c r="P73" s="139"/>
      <c r="Q73" s="134"/>
      <c r="R73" s="136"/>
      <c r="S73" s="134"/>
      <c r="T73" s="139"/>
      <c r="U73" s="134"/>
      <c r="V73" s="136"/>
      <c r="W73" s="134"/>
      <c r="X73" s="139"/>
      <c r="Y73" s="141"/>
      <c r="Z73" s="136"/>
      <c r="AA73" s="134"/>
      <c r="AB73" s="3"/>
      <c r="AC73" s="3"/>
    </row>
    <row r="74" spans="2:29" ht="30" customHeight="1" x14ac:dyDescent="0.3">
      <c r="B74" s="119"/>
      <c r="C74" s="151"/>
      <c r="D74" s="153"/>
      <c r="E74" s="11" t="s">
        <v>22</v>
      </c>
      <c r="F74" s="12">
        <f>$D$1*Rates!J17</f>
        <v>1026.8910000000001</v>
      </c>
      <c r="G74" s="142" t="s">
        <v>42</v>
      </c>
      <c r="H74" s="144"/>
      <c r="I74" s="134"/>
      <c r="J74" s="144">
        <v>0</v>
      </c>
      <c r="K74" s="134"/>
      <c r="L74" s="145">
        <v>0</v>
      </c>
      <c r="M74" s="134"/>
      <c r="N74" s="144">
        <v>0</v>
      </c>
      <c r="O74" s="134"/>
      <c r="P74" s="145">
        <v>0</v>
      </c>
      <c r="Q74" s="134"/>
      <c r="R74" s="144">
        <v>0</v>
      </c>
      <c r="S74" s="134"/>
      <c r="T74" s="145">
        <v>0</v>
      </c>
      <c r="U74" s="134"/>
      <c r="V74" s="144">
        <v>0</v>
      </c>
      <c r="W74" s="134"/>
      <c r="X74" s="145">
        <v>0</v>
      </c>
      <c r="Y74" s="141"/>
      <c r="Z74" s="144">
        <v>0</v>
      </c>
      <c r="AA74" s="134"/>
      <c r="AB74" s="3"/>
      <c r="AC74" s="3"/>
    </row>
    <row r="75" spans="2:29" ht="30" customHeight="1" x14ac:dyDescent="0.3">
      <c r="B75" s="119"/>
      <c r="C75" s="151"/>
      <c r="D75" s="153"/>
      <c r="E75" s="146" t="s">
        <v>24</v>
      </c>
      <c r="F75" s="148">
        <f>$D$1*Rates!K17</f>
        <v>1045.7460000000001</v>
      </c>
      <c r="G75" s="142"/>
      <c r="H75" s="135"/>
      <c r="I75" s="134"/>
      <c r="J75" s="135"/>
      <c r="K75" s="134"/>
      <c r="L75" s="138"/>
      <c r="M75" s="134"/>
      <c r="N75" s="135"/>
      <c r="O75" s="134"/>
      <c r="P75" s="138"/>
      <c r="Q75" s="134"/>
      <c r="R75" s="135"/>
      <c r="S75" s="134"/>
      <c r="T75" s="138"/>
      <c r="U75" s="134"/>
      <c r="V75" s="135"/>
      <c r="W75" s="134"/>
      <c r="X75" s="138"/>
      <c r="Y75" s="141"/>
      <c r="Z75" s="135"/>
      <c r="AA75" s="134"/>
      <c r="AB75" s="3"/>
      <c r="AC75" s="3"/>
    </row>
    <row r="76" spans="2:29" ht="30" customHeight="1" thickBot="1" x14ac:dyDescent="0.35">
      <c r="B76" s="120"/>
      <c r="C76" s="151"/>
      <c r="D76" s="153"/>
      <c r="E76" s="147"/>
      <c r="F76" s="149">
        <f>$D$1*[1]Rates!J68</f>
        <v>0</v>
      </c>
      <c r="G76" s="143"/>
      <c r="H76" s="135"/>
      <c r="I76" s="134"/>
      <c r="J76" s="135"/>
      <c r="K76" s="134"/>
      <c r="L76" s="138"/>
      <c r="M76" s="134"/>
      <c r="N76" s="135"/>
      <c r="O76" s="134"/>
      <c r="P76" s="138"/>
      <c r="Q76" s="134"/>
      <c r="R76" s="135"/>
      <c r="S76" s="134"/>
      <c r="T76" s="138"/>
      <c r="U76" s="134"/>
      <c r="V76" s="135"/>
      <c r="W76" s="134"/>
      <c r="X76" s="138"/>
      <c r="Y76" s="141"/>
      <c r="Z76" s="135"/>
      <c r="AA76" s="134"/>
      <c r="AB76" s="3"/>
      <c r="AC76" s="3"/>
    </row>
    <row r="77" spans="2:29" ht="30" customHeight="1" x14ac:dyDescent="0.3">
      <c r="B77" s="118" t="s">
        <v>94</v>
      </c>
      <c r="C77" s="150" t="s">
        <v>102</v>
      </c>
      <c r="D77" s="152" t="s">
        <v>174</v>
      </c>
      <c r="E77" s="9" t="s">
        <v>18</v>
      </c>
      <c r="F77" s="10">
        <v>3</v>
      </c>
      <c r="G77" s="190" t="s">
        <v>222</v>
      </c>
      <c r="H77" s="112"/>
      <c r="I77" s="133">
        <f>1.027*((H77*$F77*$F78)+(H77*0.2*$F79)+(H77*0.1*$F80)+(H80*$F81))</f>
        <v>0</v>
      </c>
      <c r="J77" s="112">
        <v>0</v>
      </c>
      <c r="K77" s="133">
        <f>1.056*((J77*$F77*$F78)+(J77*0.2*$F79)+(J77*0.1*$F80)+(J80*$F81))</f>
        <v>0</v>
      </c>
      <c r="L77" s="137">
        <v>0</v>
      </c>
      <c r="M77" s="133">
        <f>1.083*((L77*$F77*$F78)+(L77*0.2*$F79)+(L77*0.1*$F80)+(L80*$F81))</f>
        <v>0</v>
      </c>
      <c r="N77" s="112">
        <v>0</v>
      </c>
      <c r="O77" s="133">
        <f>1.11*((N77*$F77*$F78)+(N77*0.2*$F79)+(N77*0.1*$F80)+(N80*$F81))</f>
        <v>0</v>
      </c>
      <c r="P77" s="137">
        <v>0</v>
      </c>
      <c r="Q77" s="133">
        <f>1.14*((P77*$F77*$F78)+(P77*0.2*$F79)+(P77*0.1*$F80)+(P80*$F81))</f>
        <v>0</v>
      </c>
      <c r="R77" s="112">
        <v>0</v>
      </c>
      <c r="S77" s="133">
        <f>1.172*((R77*$F77*$F78)+(R77*0.2*$F79)+(R77*0.1*$F80)+(R80*$F81))</f>
        <v>0</v>
      </c>
      <c r="T77" s="137">
        <v>0</v>
      </c>
      <c r="U77" s="133">
        <f>1.206*((T77*$F77*$F78)+(T77*0.2*$F79)+(T77*0.1*$F80)+(T80*$F81))</f>
        <v>0</v>
      </c>
      <c r="V77" s="112">
        <v>0</v>
      </c>
      <c r="W77" s="133">
        <f>1.242*((V77*$F77*$F78)+(V77*0.2*$F79)+(V77*0.1*$F80)+(V80*$F81))</f>
        <v>0</v>
      </c>
      <c r="X77" s="137">
        <v>0</v>
      </c>
      <c r="Y77" s="140">
        <f>(X77*$F77*$F78)+(X77*0.2*$F79)+(X77*0.1*$F80)+(X80*$F81)</f>
        <v>0</v>
      </c>
      <c r="Z77" s="112">
        <v>0</v>
      </c>
      <c r="AA77" s="133">
        <f>(Z77*$F77*$F78)+(Z77*0.2*$F79)+(Z77*0.1*$F80)+(Z80*$F81)</f>
        <v>0</v>
      </c>
      <c r="AB77" s="3"/>
      <c r="AC77" s="3"/>
    </row>
    <row r="78" spans="2:29" ht="30" customHeight="1" x14ac:dyDescent="0.3">
      <c r="B78" s="119"/>
      <c r="C78" s="151"/>
      <c r="D78" s="153"/>
      <c r="E78" s="11" t="s">
        <v>20</v>
      </c>
      <c r="F78" s="12">
        <f>$D$1*Rates!H18</f>
        <v>139.97812500000001</v>
      </c>
      <c r="G78" s="191"/>
      <c r="H78" s="135"/>
      <c r="I78" s="134"/>
      <c r="J78" s="135"/>
      <c r="K78" s="134"/>
      <c r="L78" s="138"/>
      <c r="M78" s="134"/>
      <c r="N78" s="135"/>
      <c r="O78" s="134"/>
      <c r="P78" s="138"/>
      <c r="Q78" s="134"/>
      <c r="R78" s="135"/>
      <c r="S78" s="134"/>
      <c r="T78" s="138"/>
      <c r="U78" s="134"/>
      <c r="V78" s="135"/>
      <c r="W78" s="134"/>
      <c r="X78" s="138"/>
      <c r="Y78" s="141"/>
      <c r="Z78" s="135"/>
      <c r="AA78" s="134"/>
      <c r="AB78" s="3"/>
      <c r="AC78" s="3"/>
    </row>
    <row r="79" spans="2:29" ht="30" customHeight="1" x14ac:dyDescent="0.3">
      <c r="B79" s="119"/>
      <c r="C79" s="151"/>
      <c r="D79" s="153"/>
      <c r="E79" s="11" t="s">
        <v>21</v>
      </c>
      <c r="F79" s="12">
        <f>$D$1*Rates!I18</f>
        <v>300.07912499999998</v>
      </c>
      <c r="G79" s="192"/>
      <c r="H79" s="136"/>
      <c r="I79" s="134"/>
      <c r="J79" s="136"/>
      <c r="K79" s="134"/>
      <c r="L79" s="139"/>
      <c r="M79" s="134"/>
      <c r="N79" s="136"/>
      <c r="O79" s="134"/>
      <c r="P79" s="139"/>
      <c r="Q79" s="134"/>
      <c r="R79" s="136"/>
      <c r="S79" s="134"/>
      <c r="T79" s="139"/>
      <c r="U79" s="134"/>
      <c r="V79" s="136"/>
      <c r="W79" s="134"/>
      <c r="X79" s="139"/>
      <c r="Y79" s="141"/>
      <c r="Z79" s="136"/>
      <c r="AA79" s="134"/>
      <c r="AB79" s="3"/>
      <c r="AC79" s="3"/>
    </row>
    <row r="80" spans="2:29" ht="30" customHeight="1" x14ac:dyDescent="0.3">
      <c r="B80" s="119"/>
      <c r="C80" s="151"/>
      <c r="D80" s="153"/>
      <c r="E80" s="11" t="s">
        <v>22</v>
      </c>
      <c r="F80" s="12">
        <f>$D$1*Rates!J18</f>
        <v>772.57912499999998</v>
      </c>
      <c r="G80" s="142" t="s">
        <v>43</v>
      </c>
      <c r="H80" s="144"/>
      <c r="I80" s="134"/>
      <c r="J80" s="144">
        <v>0</v>
      </c>
      <c r="K80" s="134"/>
      <c r="L80" s="145">
        <v>0</v>
      </c>
      <c r="M80" s="134"/>
      <c r="N80" s="144">
        <v>0</v>
      </c>
      <c r="O80" s="134"/>
      <c r="P80" s="145">
        <v>0</v>
      </c>
      <c r="Q80" s="134"/>
      <c r="R80" s="144">
        <v>0</v>
      </c>
      <c r="S80" s="134"/>
      <c r="T80" s="145">
        <v>0</v>
      </c>
      <c r="U80" s="134"/>
      <c r="V80" s="144">
        <v>0</v>
      </c>
      <c r="W80" s="134"/>
      <c r="X80" s="145">
        <v>0</v>
      </c>
      <c r="Y80" s="141"/>
      <c r="Z80" s="144">
        <v>0</v>
      </c>
      <c r="AA80" s="134"/>
      <c r="AB80" s="3"/>
      <c r="AC80" s="3"/>
    </row>
    <row r="81" spans="2:29" ht="30" customHeight="1" x14ac:dyDescent="0.3">
      <c r="B81" s="119"/>
      <c r="C81" s="151"/>
      <c r="D81" s="153"/>
      <c r="E81" s="146" t="s">
        <v>24</v>
      </c>
      <c r="F81" s="148">
        <f>$D$1*Rates!K18</f>
        <v>733.46742000000006</v>
      </c>
      <c r="G81" s="142"/>
      <c r="H81" s="135"/>
      <c r="I81" s="134"/>
      <c r="J81" s="135"/>
      <c r="K81" s="134"/>
      <c r="L81" s="138"/>
      <c r="M81" s="134"/>
      <c r="N81" s="135"/>
      <c r="O81" s="134"/>
      <c r="P81" s="138"/>
      <c r="Q81" s="134"/>
      <c r="R81" s="135"/>
      <c r="S81" s="134"/>
      <c r="T81" s="138"/>
      <c r="U81" s="134"/>
      <c r="V81" s="135"/>
      <c r="W81" s="134"/>
      <c r="X81" s="138"/>
      <c r="Y81" s="141"/>
      <c r="Z81" s="135"/>
      <c r="AA81" s="134"/>
      <c r="AB81" s="3"/>
      <c r="AC81" s="3"/>
    </row>
    <row r="82" spans="2:29" ht="30" customHeight="1" thickBot="1" x14ac:dyDescent="0.35">
      <c r="B82" s="119"/>
      <c r="C82" s="174"/>
      <c r="D82" s="153"/>
      <c r="E82" s="147"/>
      <c r="F82" s="149">
        <f>$D$1*[1]Rates!J74</f>
        <v>0</v>
      </c>
      <c r="G82" s="143"/>
      <c r="H82" s="135"/>
      <c r="I82" s="134"/>
      <c r="J82" s="135"/>
      <c r="K82" s="134"/>
      <c r="L82" s="138"/>
      <c r="M82" s="134"/>
      <c r="N82" s="135"/>
      <c r="O82" s="134"/>
      <c r="P82" s="138"/>
      <c r="Q82" s="134"/>
      <c r="R82" s="135"/>
      <c r="S82" s="134"/>
      <c r="T82" s="138"/>
      <c r="U82" s="134"/>
      <c r="V82" s="135"/>
      <c r="W82" s="134"/>
      <c r="X82" s="138"/>
      <c r="Y82" s="141"/>
      <c r="Z82" s="135"/>
      <c r="AA82" s="134"/>
      <c r="AB82" s="3"/>
      <c r="AC82" s="3"/>
    </row>
    <row r="83" spans="2:29" ht="30" customHeight="1" x14ac:dyDescent="0.3">
      <c r="B83" s="119"/>
      <c r="C83" s="150" t="s">
        <v>93</v>
      </c>
      <c r="D83" s="152" t="s">
        <v>175</v>
      </c>
      <c r="E83" s="9" t="s">
        <v>18</v>
      </c>
      <c r="F83" s="10">
        <v>3</v>
      </c>
      <c r="G83" s="190" t="s">
        <v>223</v>
      </c>
      <c r="H83" s="112"/>
      <c r="I83" s="133">
        <f>1.027*((H83*$F83*$F84)+(H83*0.2*$F85)+(H83*0.1*$F86)+(H86*$F87))</f>
        <v>0</v>
      </c>
      <c r="J83" s="112">
        <v>0</v>
      </c>
      <c r="K83" s="133">
        <f>1.056*((J83*$F83*$F84)+(J83*0.2*$F85)+(J83*0.1*$F86)+(J86*$F87))</f>
        <v>0</v>
      </c>
      <c r="L83" s="137">
        <v>0</v>
      </c>
      <c r="M83" s="133">
        <f>1.083*((L83*$F83*$F84)+(L83*0.2*$F85)+(L83*0.1*$F86)+(L86*$F87))</f>
        <v>0</v>
      </c>
      <c r="N83" s="112">
        <v>0</v>
      </c>
      <c r="O83" s="133">
        <f>1.11*((N83*$F83*$F84)+(N83*0.2*$F85)+(N83*0.1*$F86)+(N86*$F87))</f>
        <v>0</v>
      </c>
      <c r="P83" s="137">
        <v>0</v>
      </c>
      <c r="Q83" s="133">
        <f>1.14*((P83*$F83*$F84)+(P83*0.2*$F85)+(P83*0.1*$F86)+(P86*$F87))</f>
        <v>0</v>
      </c>
      <c r="R83" s="112">
        <v>0</v>
      </c>
      <c r="S83" s="133">
        <f>1.172*((R83*$F83*$F84)+(R83*0.2*$F85)+(R83*0.1*$F86)+(R86*$F87))</f>
        <v>0</v>
      </c>
      <c r="T83" s="137">
        <v>0</v>
      </c>
      <c r="U83" s="133">
        <f>1.206*((T83*$F83*$F84)+(T83*0.2*$F85)+(T83*0.1*$F86)+(T86*$F87))</f>
        <v>0</v>
      </c>
      <c r="V83" s="112">
        <v>0</v>
      </c>
      <c r="W83" s="133">
        <f>1.242*((V83*$F83*$F84)+(V83*0.2*$F85)+(V83*0.1*$F86)+(V86*$F87))</f>
        <v>0</v>
      </c>
      <c r="X83" s="137">
        <v>0</v>
      </c>
      <c r="Y83" s="140">
        <f>(X83*$F83*$F84)+(X83*0.2*$F85)+(X83*0.1*$F86)+(X86*$F87)</f>
        <v>0</v>
      </c>
      <c r="Z83" s="112">
        <v>0</v>
      </c>
      <c r="AA83" s="133">
        <f>(Z83*$F83*$F84)+(Z83*0.2*$F85)+(Z83*0.1*$F86)+(Z86*$F87)</f>
        <v>0</v>
      </c>
      <c r="AB83" s="3"/>
      <c r="AC83" s="3"/>
    </row>
    <row r="84" spans="2:29" ht="30" customHeight="1" x14ac:dyDescent="0.3">
      <c r="B84" s="119"/>
      <c r="C84" s="151"/>
      <c r="D84" s="153"/>
      <c r="E84" s="11" t="s">
        <v>20</v>
      </c>
      <c r="F84" s="12">
        <f>$D$1*Rates!H19</f>
        <v>139.97812500000001</v>
      </c>
      <c r="G84" s="191"/>
      <c r="H84" s="135"/>
      <c r="I84" s="134"/>
      <c r="J84" s="135"/>
      <c r="K84" s="134"/>
      <c r="L84" s="138"/>
      <c r="M84" s="134"/>
      <c r="N84" s="135"/>
      <c r="O84" s="134"/>
      <c r="P84" s="138"/>
      <c r="Q84" s="134"/>
      <c r="R84" s="135"/>
      <c r="S84" s="134"/>
      <c r="T84" s="138"/>
      <c r="U84" s="134"/>
      <c r="V84" s="135"/>
      <c r="W84" s="134"/>
      <c r="X84" s="138"/>
      <c r="Y84" s="141"/>
      <c r="Z84" s="135"/>
      <c r="AA84" s="134"/>
      <c r="AB84" s="3"/>
      <c r="AC84" s="3"/>
    </row>
    <row r="85" spans="2:29" ht="30" customHeight="1" x14ac:dyDescent="0.3">
      <c r="B85" s="119"/>
      <c r="C85" s="151"/>
      <c r="D85" s="153"/>
      <c r="E85" s="11" t="s">
        <v>21</v>
      </c>
      <c r="F85" s="12">
        <f>$D$1*Rates!I19</f>
        <v>300.07912499999998</v>
      </c>
      <c r="G85" s="192"/>
      <c r="H85" s="136"/>
      <c r="I85" s="134"/>
      <c r="J85" s="136"/>
      <c r="K85" s="134"/>
      <c r="L85" s="139"/>
      <c r="M85" s="134"/>
      <c r="N85" s="136"/>
      <c r="O85" s="134"/>
      <c r="P85" s="139"/>
      <c r="Q85" s="134"/>
      <c r="R85" s="136"/>
      <c r="S85" s="134"/>
      <c r="T85" s="139"/>
      <c r="U85" s="134"/>
      <c r="V85" s="136"/>
      <c r="W85" s="134"/>
      <c r="X85" s="139"/>
      <c r="Y85" s="141"/>
      <c r="Z85" s="136"/>
      <c r="AA85" s="134"/>
      <c r="AB85" s="3"/>
      <c r="AC85" s="3"/>
    </row>
    <row r="86" spans="2:29" ht="30" customHeight="1" x14ac:dyDescent="0.3">
      <c r="B86" s="119"/>
      <c r="C86" s="151"/>
      <c r="D86" s="153"/>
      <c r="E86" s="11" t="s">
        <v>22</v>
      </c>
      <c r="F86" s="12">
        <f>$D$1*Rates!J19</f>
        <v>772.57912499999998</v>
      </c>
      <c r="G86" s="142" t="s">
        <v>43</v>
      </c>
      <c r="H86" s="144"/>
      <c r="I86" s="134"/>
      <c r="J86" s="144">
        <v>0</v>
      </c>
      <c r="K86" s="134"/>
      <c r="L86" s="145">
        <v>0</v>
      </c>
      <c r="M86" s="134"/>
      <c r="N86" s="144">
        <v>0</v>
      </c>
      <c r="O86" s="134"/>
      <c r="P86" s="145">
        <v>0</v>
      </c>
      <c r="Q86" s="134"/>
      <c r="R86" s="144">
        <v>0</v>
      </c>
      <c r="S86" s="134"/>
      <c r="T86" s="145">
        <v>0</v>
      </c>
      <c r="U86" s="134"/>
      <c r="V86" s="144">
        <v>0</v>
      </c>
      <c r="W86" s="134"/>
      <c r="X86" s="145">
        <v>0</v>
      </c>
      <c r="Y86" s="141"/>
      <c r="Z86" s="144">
        <v>0</v>
      </c>
      <c r="AA86" s="134"/>
      <c r="AB86" s="3"/>
      <c r="AC86" s="3"/>
    </row>
    <row r="87" spans="2:29" ht="30" customHeight="1" x14ac:dyDescent="0.3">
      <c r="B87" s="119"/>
      <c r="C87" s="151"/>
      <c r="D87" s="153"/>
      <c r="E87" s="146" t="s">
        <v>24</v>
      </c>
      <c r="F87" s="148">
        <f>$D$1*Rates!K19</f>
        <v>733.46742000000006</v>
      </c>
      <c r="G87" s="142"/>
      <c r="H87" s="135"/>
      <c r="I87" s="134"/>
      <c r="J87" s="135"/>
      <c r="K87" s="134"/>
      <c r="L87" s="138"/>
      <c r="M87" s="134"/>
      <c r="N87" s="135"/>
      <c r="O87" s="134"/>
      <c r="P87" s="138"/>
      <c r="Q87" s="134"/>
      <c r="R87" s="135"/>
      <c r="S87" s="134"/>
      <c r="T87" s="138"/>
      <c r="U87" s="134"/>
      <c r="V87" s="135"/>
      <c r="W87" s="134"/>
      <c r="X87" s="138"/>
      <c r="Y87" s="141"/>
      <c r="Z87" s="135"/>
      <c r="AA87" s="134"/>
      <c r="AB87" s="3"/>
      <c r="AC87" s="3"/>
    </row>
    <row r="88" spans="2:29" ht="30" customHeight="1" thickBot="1" x14ac:dyDescent="0.35">
      <c r="B88" s="119"/>
      <c r="C88" s="174"/>
      <c r="D88" s="153"/>
      <c r="E88" s="147"/>
      <c r="F88" s="149">
        <f>$D$1*[1]Rates!J80</f>
        <v>0</v>
      </c>
      <c r="G88" s="143"/>
      <c r="H88" s="135"/>
      <c r="I88" s="134"/>
      <c r="J88" s="135"/>
      <c r="K88" s="134"/>
      <c r="L88" s="138"/>
      <c r="M88" s="134"/>
      <c r="N88" s="135"/>
      <c r="O88" s="134"/>
      <c r="P88" s="138"/>
      <c r="Q88" s="134"/>
      <c r="R88" s="135"/>
      <c r="S88" s="134"/>
      <c r="T88" s="138"/>
      <c r="U88" s="134"/>
      <c r="V88" s="135"/>
      <c r="W88" s="134"/>
      <c r="X88" s="138"/>
      <c r="Y88" s="141"/>
      <c r="Z88" s="135"/>
      <c r="AA88" s="134"/>
      <c r="AB88" s="3"/>
      <c r="AC88" s="3"/>
    </row>
    <row r="89" spans="2:29" ht="30" customHeight="1" x14ac:dyDescent="0.3">
      <c r="B89" s="119"/>
      <c r="C89" s="150" t="s">
        <v>91</v>
      </c>
      <c r="D89" s="152" t="s">
        <v>176</v>
      </c>
      <c r="E89" s="9" t="s">
        <v>18</v>
      </c>
      <c r="F89" s="10">
        <v>3</v>
      </c>
      <c r="G89" s="190" t="s">
        <v>224</v>
      </c>
      <c r="H89" s="112"/>
      <c r="I89" s="133">
        <f>1.027*((H89*$F89*$F90)+(H89*0.2*$F91)+(H89*0.1*$F92)+(H92*$F93))</f>
        <v>0</v>
      </c>
      <c r="J89" s="112">
        <v>0</v>
      </c>
      <c r="K89" s="133">
        <f>1.056*((J89*$F89*$F90)+(J89*0.2*$F91)+(J89*0.1*$F92)+(J92*$F93))</f>
        <v>0</v>
      </c>
      <c r="L89" s="137">
        <v>0</v>
      </c>
      <c r="M89" s="133">
        <f>1.083*((L89*$F89*$F90)+(L89*0.2*$F91)+(L89*0.1*$F92)+(L92*$F93))</f>
        <v>0</v>
      </c>
      <c r="N89" s="112">
        <v>0</v>
      </c>
      <c r="O89" s="133">
        <f>1.11*((N89*$F89*$F90)+(N89*0.2*$F91)+(N89*0.1*$F92)+(N92*$F93))</f>
        <v>0</v>
      </c>
      <c r="P89" s="137">
        <v>0</v>
      </c>
      <c r="Q89" s="133">
        <f>1.14*((P89*$F89*$F90)+(P89*0.2*$F91)+(P89*0.1*$F92)+(P92*$F93))</f>
        <v>0</v>
      </c>
      <c r="R89" s="112">
        <v>0</v>
      </c>
      <c r="S89" s="133">
        <f>1.172*((R89*$F89*$F90)+(R89*0.2*$F91)+(R89*0.1*$F92)+(R92*$F93))</f>
        <v>0</v>
      </c>
      <c r="T89" s="137">
        <v>0</v>
      </c>
      <c r="U89" s="133">
        <f>1.206*((T89*$F89*$F90)+(T89*0.2*$F91)+(T89*0.1*$F92)+(T92*$F93))</f>
        <v>0</v>
      </c>
      <c r="V89" s="112">
        <v>0</v>
      </c>
      <c r="W89" s="133">
        <f>1.242*((V89*$F89*$F90)+(V89*0.2*$F91)+(V89*0.1*$F92)+(V92*$F93))</f>
        <v>0</v>
      </c>
      <c r="X89" s="137">
        <v>0</v>
      </c>
      <c r="Y89" s="140">
        <f>(X89*$F89*$F90)+(X89*0.2*$F91)+(X89*0.1*$F92)+(X92*$F93)</f>
        <v>0</v>
      </c>
      <c r="Z89" s="112">
        <v>0</v>
      </c>
      <c r="AA89" s="133">
        <f>(Z89*$F89*$F90)+(Z89*0.2*$F91)+(Z89*0.1*$F92)+(Z92*$F93)</f>
        <v>0</v>
      </c>
      <c r="AB89" s="3"/>
      <c r="AC89" s="3"/>
    </row>
    <row r="90" spans="2:29" ht="30" customHeight="1" x14ac:dyDescent="0.3">
      <c r="B90" s="119"/>
      <c r="C90" s="151"/>
      <c r="D90" s="153"/>
      <c r="E90" s="11" t="s">
        <v>20</v>
      </c>
      <c r="F90" s="12">
        <f>$D$1*Rates!H20</f>
        <v>139.97812500000001</v>
      </c>
      <c r="G90" s="191"/>
      <c r="H90" s="135"/>
      <c r="I90" s="134"/>
      <c r="J90" s="135"/>
      <c r="K90" s="134"/>
      <c r="L90" s="138"/>
      <c r="M90" s="134"/>
      <c r="N90" s="135"/>
      <c r="O90" s="134"/>
      <c r="P90" s="138"/>
      <c r="Q90" s="134"/>
      <c r="R90" s="135"/>
      <c r="S90" s="134"/>
      <c r="T90" s="138"/>
      <c r="U90" s="134"/>
      <c r="V90" s="135"/>
      <c r="W90" s="134"/>
      <c r="X90" s="138"/>
      <c r="Y90" s="141"/>
      <c r="Z90" s="135"/>
      <c r="AA90" s="134"/>
      <c r="AB90" s="3"/>
      <c r="AC90" s="3"/>
    </row>
    <row r="91" spans="2:29" ht="30" customHeight="1" x14ac:dyDescent="0.3">
      <c r="B91" s="119"/>
      <c r="C91" s="151"/>
      <c r="D91" s="153"/>
      <c r="E91" s="11" t="s">
        <v>21</v>
      </c>
      <c r="F91" s="12">
        <f>$D$1*Rates!I20</f>
        <v>300.07912499999998</v>
      </c>
      <c r="G91" s="192"/>
      <c r="H91" s="136"/>
      <c r="I91" s="134"/>
      <c r="J91" s="136"/>
      <c r="K91" s="134"/>
      <c r="L91" s="139"/>
      <c r="M91" s="134"/>
      <c r="N91" s="136"/>
      <c r="O91" s="134"/>
      <c r="P91" s="139"/>
      <c r="Q91" s="134"/>
      <c r="R91" s="136"/>
      <c r="S91" s="134"/>
      <c r="T91" s="139"/>
      <c r="U91" s="134"/>
      <c r="V91" s="136"/>
      <c r="W91" s="134"/>
      <c r="X91" s="139"/>
      <c r="Y91" s="141"/>
      <c r="Z91" s="136"/>
      <c r="AA91" s="134"/>
      <c r="AB91" s="3"/>
      <c r="AC91" s="3"/>
    </row>
    <row r="92" spans="2:29" ht="30" customHeight="1" x14ac:dyDescent="0.3">
      <c r="B92" s="119"/>
      <c r="C92" s="151"/>
      <c r="D92" s="153"/>
      <c r="E92" s="11" t="s">
        <v>22</v>
      </c>
      <c r="F92" s="12">
        <f>$D$1*Rates!J20</f>
        <v>772.57912499999998</v>
      </c>
      <c r="G92" s="142" t="s">
        <v>43</v>
      </c>
      <c r="H92" s="144"/>
      <c r="I92" s="134"/>
      <c r="J92" s="144">
        <v>0</v>
      </c>
      <c r="K92" s="134"/>
      <c r="L92" s="145">
        <v>0</v>
      </c>
      <c r="M92" s="134"/>
      <c r="N92" s="144">
        <v>0</v>
      </c>
      <c r="O92" s="134"/>
      <c r="P92" s="145">
        <v>0</v>
      </c>
      <c r="Q92" s="134"/>
      <c r="R92" s="144">
        <v>0</v>
      </c>
      <c r="S92" s="134"/>
      <c r="T92" s="145">
        <v>0</v>
      </c>
      <c r="U92" s="134"/>
      <c r="V92" s="144">
        <v>0</v>
      </c>
      <c r="W92" s="134"/>
      <c r="X92" s="145">
        <v>0</v>
      </c>
      <c r="Y92" s="141"/>
      <c r="Z92" s="144">
        <v>0</v>
      </c>
      <c r="AA92" s="134"/>
      <c r="AB92" s="3"/>
      <c r="AC92" s="3"/>
    </row>
    <row r="93" spans="2:29" ht="30" customHeight="1" x14ac:dyDescent="0.3">
      <c r="B93" s="119"/>
      <c r="C93" s="151"/>
      <c r="D93" s="153"/>
      <c r="E93" s="146" t="s">
        <v>24</v>
      </c>
      <c r="F93" s="148">
        <f>$D$1*Rates!K20</f>
        <v>733.46742000000006</v>
      </c>
      <c r="G93" s="142"/>
      <c r="H93" s="135"/>
      <c r="I93" s="134"/>
      <c r="J93" s="135"/>
      <c r="K93" s="134"/>
      <c r="L93" s="138"/>
      <c r="M93" s="134"/>
      <c r="N93" s="135"/>
      <c r="O93" s="134"/>
      <c r="P93" s="138"/>
      <c r="Q93" s="134"/>
      <c r="R93" s="135"/>
      <c r="S93" s="134"/>
      <c r="T93" s="138"/>
      <c r="U93" s="134"/>
      <c r="V93" s="135"/>
      <c r="W93" s="134"/>
      <c r="X93" s="138"/>
      <c r="Y93" s="141"/>
      <c r="Z93" s="135"/>
      <c r="AA93" s="134"/>
      <c r="AB93" s="3"/>
      <c r="AC93" s="3"/>
    </row>
    <row r="94" spans="2:29" ht="30" customHeight="1" thickBot="1" x14ac:dyDescent="0.35">
      <c r="B94" s="120"/>
      <c r="C94" s="174"/>
      <c r="D94" s="153"/>
      <c r="E94" s="147"/>
      <c r="F94" s="149">
        <f>$D$1*[1]Rates!J86</f>
        <v>0</v>
      </c>
      <c r="G94" s="143"/>
      <c r="H94" s="135"/>
      <c r="I94" s="134"/>
      <c r="J94" s="135"/>
      <c r="K94" s="134"/>
      <c r="L94" s="138"/>
      <c r="M94" s="134"/>
      <c r="N94" s="135"/>
      <c r="O94" s="134"/>
      <c r="P94" s="138"/>
      <c r="Q94" s="134"/>
      <c r="R94" s="135"/>
      <c r="S94" s="134"/>
      <c r="T94" s="138"/>
      <c r="U94" s="134"/>
      <c r="V94" s="135"/>
      <c r="W94" s="134"/>
      <c r="X94" s="138"/>
      <c r="Y94" s="141"/>
      <c r="Z94" s="135"/>
      <c r="AA94" s="134"/>
      <c r="AB94" s="3"/>
      <c r="AC94" s="3"/>
    </row>
    <row r="95" spans="2:29" ht="30" customHeight="1" x14ac:dyDescent="0.3">
      <c r="B95" s="118" t="s">
        <v>44</v>
      </c>
      <c r="C95" s="150" t="s">
        <v>102</v>
      </c>
      <c r="D95" s="152" t="s">
        <v>177</v>
      </c>
      <c r="E95" s="9" t="s">
        <v>18</v>
      </c>
      <c r="F95" s="10">
        <v>3</v>
      </c>
      <c r="G95" s="154" t="s">
        <v>225</v>
      </c>
      <c r="H95" s="112"/>
      <c r="I95" s="133">
        <f>1.027*((H95*$F95*$F96)+(H95*0.2*$F97)+(H95*0.1*$F98)+(H98*$F99))</f>
        <v>0</v>
      </c>
      <c r="J95" s="112">
        <v>0</v>
      </c>
      <c r="K95" s="133">
        <f>1.056*((J95*$F95*$F96)+(J95*0.2*$F97)+(J95*0.1*$F98)+(J98*$F99))</f>
        <v>0</v>
      </c>
      <c r="L95" s="137">
        <v>0</v>
      </c>
      <c r="M95" s="133">
        <f>1.083*((L95*$F95*$F96)+(L95*0.2*$F97)+(L95*0.1*$F98)+(L98*$F99))</f>
        <v>0</v>
      </c>
      <c r="N95" s="112">
        <v>0</v>
      </c>
      <c r="O95" s="133">
        <f>1.11*((N95*$F95*$F96)+(N95*0.2*$F97)+(N95*0.1*$F98)+(N98*$F99))</f>
        <v>0</v>
      </c>
      <c r="P95" s="137">
        <v>0</v>
      </c>
      <c r="Q95" s="133">
        <f>1.14*((P95*$F95*$F96)+(P95*0.2*$F97)+(P95*0.1*$F98)+(P98*$F99))</f>
        <v>0</v>
      </c>
      <c r="R95" s="112">
        <v>0</v>
      </c>
      <c r="S95" s="133">
        <f>1.172*((R95*$F95*$F96)+(R95*0.2*$F97)+(R95*0.1*$F98)+(R98*$F99))</f>
        <v>0</v>
      </c>
      <c r="T95" s="137">
        <v>0</v>
      </c>
      <c r="U95" s="133">
        <f>1.206*((T95*$F95*$F96)+(T95*0.2*$F97)+(T95*0.1*$F98)+(T98*$F99))</f>
        <v>0</v>
      </c>
      <c r="V95" s="112">
        <v>0</v>
      </c>
      <c r="W95" s="133">
        <f>1.242*((V95*$F95*$F96)+(V95*0.2*$F97)+(V95*0.1*$F98)+(V98*$F99))</f>
        <v>0</v>
      </c>
      <c r="X95" s="137">
        <v>0</v>
      </c>
      <c r="Y95" s="140">
        <f>(X95*$F95*$F96)+(X95*0.2*$F97)+(X95*0.1*$F98)+(X98*$F99)</f>
        <v>0</v>
      </c>
      <c r="Z95" s="112">
        <v>0</v>
      </c>
      <c r="AA95" s="133">
        <f>(Z95*$F95*$F96)+(Z95*0.2*$F97)+(Z95*0.1*$F98)+(Z98*$F99)</f>
        <v>0</v>
      </c>
      <c r="AB95" s="3"/>
      <c r="AC95" s="3"/>
    </row>
    <row r="96" spans="2:29" ht="30" customHeight="1" x14ac:dyDescent="0.3">
      <c r="B96" s="119"/>
      <c r="C96" s="151"/>
      <c r="D96" s="153"/>
      <c r="E96" s="11" t="s">
        <v>20</v>
      </c>
      <c r="F96" s="12">
        <f>$D$1*Rates!H21</f>
        <v>139.97812500000001</v>
      </c>
      <c r="G96" s="142"/>
      <c r="H96" s="135"/>
      <c r="I96" s="134"/>
      <c r="J96" s="135"/>
      <c r="K96" s="134"/>
      <c r="L96" s="138"/>
      <c r="M96" s="134"/>
      <c r="N96" s="135"/>
      <c r="O96" s="134"/>
      <c r="P96" s="138"/>
      <c r="Q96" s="134"/>
      <c r="R96" s="135"/>
      <c r="S96" s="134"/>
      <c r="T96" s="138"/>
      <c r="U96" s="134"/>
      <c r="V96" s="135"/>
      <c r="W96" s="134"/>
      <c r="X96" s="138"/>
      <c r="Y96" s="141"/>
      <c r="Z96" s="135"/>
      <c r="AA96" s="134"/>
      <c r="AB96" s="3"/>
      <c r="AC96" s="3"/>
    </row>
    <row r="97" spans="2:29" ht="30" customHeight="1" x14ac:dyDescent="0.3">
      <c r="B97" s="119"/>
      <c r="C97" s="151"/>
      <c r="D97" s="153"/>
      <c r="E97" s="11" t="s">
        <v>21</v>
      </c>
      <c r="F97" s="12">
        <f>$D$1*Rates!I21</f>
        <v>300.07912499999998</v>
      </c>
      <c r="G97" s="155"/>
      <c r="H97" s="136"/>
      <c r="I97" s="134"/>
      <c r="J97" s="136"/>
      <c r="K97" s="134"/>
      <c r="L97" s="139"/>
      <c r="M97" s="134"/>
      <c r="N97" s="136"/>
      <c r="O97" s="134"/>
      <c r="P97" s="139"/>
      <c r="Q97" s="134"/>
      <c r="R97" s="136"/>
      <c r="S97" s="134"/>
      <c r="T97" s="139"/>
      <c r="U97" s="134"/>
      <c r="V97" s="136"/>
      <c r="W97" s="134"/>
      <c r="X97" s="139"/>
      <c r="Y97" s="141"/>
      <c r="Z97" s="136"/>
      <c r="AA97" s="134"/>
      <c r="AB97" s="3"/>
      <c r="AC97" s="3"/>
    </row>
    <row r="98" spans="2:29" ht="30" customHeight="1" x14ac:dyDescent="0.3">
      <c r="B98" s="119"/>
      <c r="C98" s="151"/>
      <c r="D98" s="153"/>
      <c r="E98" s="11" t="s">
        <v>22</v>
      </c>
      <c r="F98" s="12">
        <f>$D$1*Rates!J21</f>
        <v>772.57912499999998</v>
      </c>
      <c r="G98" s="142" t="s">
        <v>226</v>
      </c>
      <c r="H98" s="144"/>
      <c r="I98" s="134"/>
      <c r="J98" s="144">
        <v>0</v>
      </c>
      <c r="K98" s="134"/>
      <c r="L98" s="145">
        <v>0</v>
      </c>
      <c r="M98" s="134"/>
      <c r="N98" s="144">
        <v>0</v>
      </c>
      <c r="O98" s="134"/>
      <c r="P98" s="145">
        <v>0</v>
      </c>
      <c r="Q98" s="134"/>
      <c r="R98" s="144">
        <v>0</v>
      </c>
      <c r="S98" s="134"/>
      <c r="T98" s="145">
        <v>0</v>
      </c>
      <c r="U98" s="134"/>
      <c r="V98" s="144">
        <v>0</v>
      </c>
      <c r="W98" s="134"/>
      <c r="X98" s="145">
        <v>0</v>
      </c>
      <c r="Y98" s="141"/>
      <c r="Z98" s="144">
        <v>0</v>
      </c>
      <c r="AA98" s="134"/>
      <c r="AB98" s="3"/>
      <c r="AC98" s="3"/>
    </row>
    <row r="99" spans="2:29" ht="30" customHeight="1" x14ac:dyDescent="0.3">
      <c r="B99" s="119"/>
      <c r="C99" s="151"/>
      <c r="D99" s="153"/>
      <c r="E99" s="146" t="s">
        <v>24</v>
      </c>
      <c r="F99" s="148">
        <f>$D$1*Rates!K21</f>
        <v>733.46742000000006</v>
      </c>
      <c r="G99" s="142"/>
      <c r="H99" s="135"/>
      <c r="I99" s="134"/>
      <c r="J99" s="135"/>
      <c r="K99" s="134"/>
      <c r="L99" s="138"/>
      <c r="M99" s="134"/>
      <c r="N99" s="135"/>
      <c r="O99" s="134"/>
      <c r="P99" s="138"/>
      <c r="Q99" s="134"/>
      <c r="R99" s="135"/>
      <c r="S99" s="134"/>
      <c r="T99" s="138"/>
      <c r="U99" s="134"/>
      <c r="V99" s="135"/>
      <c r="W99" s="134"/>
      <c r="X99" s="138"/>
      <c r="Y99" s="141"/>
      <c r="Z99" s="135"/>
      <c r="AA99" s="134"/>
      <c r="AB99" s="3"/>
      <c r="AC99" s="3"/>
    </row>
    <row r="100" spans="2:29" ht="30" customHeight="1" thickBot="1" x14ac:dyDescent="0.35">
      <c r="B100" s="119"/>
      <c r="C100" s="151"/>
      <c r="D100" s="153"/>
      <c r="E100" s="147"/>
      <c r="F100" s="149">
        <f>$D$1*[1]Rates!J92</f>
        <v>0</v>
      </c>
      <c r="G100" s="143"/>
      <c r="H100" s="135"/>
      <c r="I100" s="134"/>
      <c r="J100" s="135"/>
      <c r="K100" s="134"/>
      <c r="L100" s="138"/>
      <c r="M100" s="134"/>
      <c r="N100" s="135"/>
      <c r="O100" s="134"/>
      <c r="P100" s="138"/>
      <c r="Q100" s="134"/>
      <c r="R100" s="135"/>
      <c r="S100" s="134"/>
      <c r="T100" s="138"/>
      <c r="U100" s="134"/>
      <c r="V100" s="135"/>
      <c r="W100" s="134"/>
      <c r="X100" s="138"/>
      <c r="Y100" s="141"/>
      <c r="Z100" s="135"/>
      <c r="AA100" s="134"/>
      <c r="AB100" s="3"/>
      <c r="AC100" s="3"/>
    </row>
    <row r="101" spans="2:29" ht="30" customHeight="1" x14ac:dyDescent="0.3">
      <c r="B101" s="119"/>
      <c r="C101" s="150" t="s">
        <v>90</v>
      </c>
      <c r="D101" s="152" t="s">
        <v>178</v>
      </c>
      <c r="E101" s="9" t="s">
        <v>18</v>
      </c>
      <c r="F101" s="10">
        <v>3</v>
      </c>
      <c r="G101" s="154" t="s">
        <v>227</v>
      </c>
      <c r="H101" s="112"/>
      <c r="I101" s="133">
        <f>1.027*((H101*$F101*$F102)+(H101*0.2*$F103)+(H101*0.1*$F104)+(H104*$F105))</f>
        <v>0</v>
      </c>
      <c r="J101" s="112">
        <v>0</v>
      </c>
      <c r="K101" s="133">
        <f>1.056*((J101*$F101*$F102)+(J101*0.2*$F103)+(J101*0.1*$F104)+(J104*$F105))</f>
        <v>0</v>
      </c>
      <c r="L101" s="137">
        <v>0</v>
      </c>
      <c r="M101" s="133">
        <f>1.083*((L101*$F101*$F102)+(L101*0.2*$F103)+(L101*0.1*$F104)+(L104*$F105))</f>
        <v>0</v>
      </c>
      <c r="N101" s="112">
        <v>0</v>
      </c>
      <c r="O101" s="133">
        <f>1.11*((N101*$F101*$F102)+(N101*0.2*$F103)+(N101*0.1*$F104)+(N104*$F105))</f>
        <v>0</v>
      </c>
      <c r="P101" s="137">
        <v>0</v>
      </c>
      <c r="Q101" s="133">
        <f>1.14*((P101*$F101*$F102)+(P101*0.2*$F103)+(P101*0.1*$F104)+(P104*$F105))</f>
        <v>0</v>
      </c>
      <c r="R101" s="112">
        <v>0</v>
      </c>
      <c r="S101" s="133">
        <f>1.172*((R101*$F101*$F102)+(R101*0.2*$F103)+(R101*0.1*$F104)+(R104*$F105))</f>
        <v>0</v>
      </c>
      <c r="T101" s="137">
        <v>0</v>
      </c>
      <c r="U101" s="133">
        <f>1.206*((T101*$F101*$F102)+(T101*0.2*$F103)+(T101*0.1*$F104)+(T104*$F105))</f>
        <v>0</v>
      </c>
      <c r="V101" s="112">
        <v>0</v>
      </c>
      <c r="W101" s="133">
        <f>1.242*((V101*$F101*$F102)+(V101*0.2*$F103)+(V101*0.1*$F104)+(V104*$F105))</f>
        <v>0</v>
      </c>
      <c r="X101" s="137">
        <v>0</v>
      </c>
      <c r="Y101" s="140">
        <f>(X101*$F101*$F102)+(X101*0.2*$F103)+(X101*0.1*$F104)+(X104*$F105)</f>
        <v>0</v>
      </c>
      <c r="Z101" s="112">
        <v>0</v>
      </c>
      <c r="AA101" s="133">
        <f>(Z101*$F101*$F102)+(Z101*0.2*$F103)+(Z101*0.1*$F104)+(Z104*$F105)</f>
        <v>0</v>
      </c>
      <c r="AB101" s="3"/>
      <c r="AC101" s="3"/>
    </row>
    <row r="102" spans="2:29" ht="30" customHeight="1" x14ac:dyDescent="0.3">
      <c r="B102" s="119"/>
      <c r="C102" s="151"/>
      <c r="D102" s="153"/>
      <c r="E102" s="11" t="s">
        <v>20</v>
      </c>
      <c r="F102" s="12">
        <f>$D$1*Rates!H22</f>
        <v>139.97812500000001</v>
      </c>
      <c r="G102" s="142"/>
      <c r="H102" s="135"/>
      <c r="I102" s="134"/>
      <c r="J102" s="135"/>
      <c r="K102" s="134"/>
      <c r="L102" s="138"/>
      <c r="M102" s="134"/>
      <c r="N102" s="135"/>
      <c r="O102" s="134"/>
      <c r="P102" s="138"/>
      <c r="Q102" s="134"/>
      <c r="R102" s="135"/>
      <c r="S102" s="134"/>
      <c r="T102" s="138"/>
      <c r="U102" s="134"/>
      <c r="V102" s="135"/>
      <c r="W102" s="134"/>
      <c r="X102" s="138"/>
      <c r="Y102" s="141"/>
      <c r="Z102" s="135"/>
      <c r="AA102" s="134"/>
      <c r="AB102" s="3"/>
      <c r="AC102" s="3"/>
    </row>
    <row r="103" spans="2:29" ht="30" customHeight="1" x14ac:dyDescent="0.3">
      <c r="B103" s="119"/>
      <c r="C103" s="151"/>
      <c r="D103" s="153"/>
      <c r="E103" s="11" t="s">
        <v>21</v>
      </c>
      <c r="F103" s="12">
        <f>$D$1*Rates!I22</f>
        <v>300.07912499999998</v>
      </c>
      <c r="G103" s="155"/>
      <c r="H103" s="136"/>
      <c r="I103" s="134"/>
      <c r="J103" s="136"/>
      <c r="K103" s="134"/>
      <c r="L103" s="139"/>
      <c r="M103" s="134"/>
      <c r="N103" s="136"/>
      <c r="O103" s="134"/>
      <c r="P103" s="139"/>
      <c r="Q103" s="134"/>
      <c r="R103" s="136"/>
      <c r="S103" s="134"/>
      <c r="T103" s="139"/>
      <c r="U103" s="134"/>
      <c r="V103" s="136"/>
      <c r="W103" s="134"/>
      <c r="X103" s="139"/>
      <c r="Y103" s="141"/>
      <c r="Z103" s="136"/>
      <c r="AA103" s="134"/>
      <c r="AB103" s="3"/>
      <c r="AC103" s="3"/>
    </row>
    <row r="104" spans="2:29" ht="30" customHeight="1" x14ac:dyDescent="0.3">
      <c r="B104" s="119"/>
      <c r="C104" s="151"/>
      <c r="D104" s="153"/>
      <c r="E104" s="11" t="s">
        <v>22</v>
      </c>
      <c r="F104" s="12">
        <f>$D$1*Rates!J22</f>
        <v>772.57912499999998</v>
      </c>
      <c r="G104" s="142" t="s">
        <v>228</v>
      </c>
      <c r="H104" s="144"/>
      <c r="I104" s="134"/>
      <c r="J104" s="144">
        <v>0</v>
      </c>
      <c r="K104" s="134"/>
      <c r="L104" s="145">
        <v>0</v>
      </c>
      <c r="M104" s="134"/>
      <c r="N104" s="144">
        <v>0</v>
      </c>
      <c r="O104" s="134"/>
      <c r="P104" s="145">
        <v>0</v>
      </c>
      <c r="Q104" s="134"/>
      <c r="R104" s="144">
        <v>0</v>
      </c>
      <c r="S104" s="134"/>
      <c r="T104" s="145">
        <v>0</v>
      </c>
      <c r="U104" s="134"/>
      <c r="V104" s="144">
        <v>0</v>
      </c>
      <c r="W104" s="134"/>
      <c r="X104" s="145">
        <v>0</v>
      </c>
      <c r="Y104" s="141"/>
      <c r="Z104" s="144">
        <v>0</v>
      </c>
      <c r="AA104" s="134"/>
      <c r="AB104" s="3"/>
      <c r="AC104" s="3"/>
    </row>
    <row r="105" spans="2:29" ht="30" customHeight="1" x14ac:dyDescent="0.3">
      <c r="B105" s="119"/>
      <c r="C105" s="151"/>
      <c r="D105" s="153"/>
      <c r="E105" s="146" t="s">
        <v>24</v>
      </c>
      <c r="F105" s="148">
        <f>$D$1*Rates!K22</f>
        <v>733.46742000000006</v>
      </c>
      <c r="G105" s="142"/>
      <c r="H105" s="135"/>
      <c r="I105" s="134"/>
      <c r="J105" s="135"/>
      <c r="K105" s="134"/>
      <c r="L105" s="138"/>
      <c r="M105" s="134"/>
      <c r="N105" s="135"/>
      <c r="O105" s="134"/>
      <c r="P105" s="138"/>
      <c r="Q105" s="134"/>
      <c r="R105" s="135"/>
      <c r="S105" s="134"/>
      <c r="T105" s="138"/>
      <c r="U105" s="134"/>
      <c r="V105" s="135"/>
      <c r="W105" s="134"/>
      <c r="X105" s="138"/>
      <c r="Y105" s="141"/>
      <c r="Z105" s="135"/>
      <c r="AA105" s="134"/>
      <c r="AB105" s="3"/>
      <c r="AC105" s="3"/>
    </row>
    <row r="106" spans="2:29" ht="30" customHeight="1" thickBot="1" x14ac:dyDescent="0.35">
      <c r="B106" s="119"/>
      <c r="C106" s="151"/>
      <c r="D106" s="153"/>
      <c r="E106" s="147"/>
      <c r="F106" s="149">
        <f>$D$1*[1]Rates!J98</f>
        <v>0</v>
      </c>
      <c r="G106" s="143"/>
      <c r="H106" s="135"/>
      <c r="I106" s="134"/>
      <c r="J106" s="135"/>
      <c r="K106" s="134"/>
      <c r="L106" s="138"/>
      <c r="M106" s="134"/>
      <c r="N106" s="135"/>
      <c r="O106" s="134"/>
      <c r="P106" s="138"/>
      <c r="Q106" s="134"/>
      <c r="R106" s="135"/>
      <c r="S106" s="134"/>
      <c r="T106" s="138"/>
      <c r="U106" s="134"/>
      <c r="V106" s="135"/>
      <c r="W106" s="134"/>
      <c r="X106" s="138"/>
      <c r="Y106" s="141"/>
      <c r="Z106" s="135"/>
      <c r="AA106" s="134"/>
      <c r="AB106" s="3"/>
      <c r="AC106" s="3"/>
    </row>
    <row r="107" spans="2:29" ht="30" customHeight="1" x14ac:dyDescent="0.3">
      <c r="B107" s="119"/>
      <c r="C107" s="150" t="s">
        <v>91</v>
      </c>
      <c r="D107" s="152" t="s">
        <v>177</v>
      </c>
      <c r="E107" s="9" t="s">
        <v>18</v>
      </c>
      <c r="F107" s="10">
        <v>3</v>
      </c>
      <c r="G107" s="154" t="s">
        <v>229</v>
      </c>
      <c r="H107" s="112"/>
      <c r="I107" s="133">
        <f>1.027*((H107*$F107*$F108)+(H107*0.2*$F109)+(H107*0.1*$F110)+(H110*$F111))</f>
        <v>0</v>
      </c>
      <c r="J107" s="112">
        <v>0</v>
      </c>
      <c r="K107" s="133">
        <f>1.056*((J107*$F107*$F108)+(J107*0.2*$F109)+(J107*0.1*$F110)+(J110*$F111))</f>
        <v>0</v>
      </c>
      <c r="L107" s="137">
        <v>0</v>
      </c>
      <c r="M107" s="133">
        <f>1.083*((L107*$F107*$F108)+(L107*0.2*$F109)+(L107*0.1*$F110)+(L110*$F111))</f>
        <v>0</v>
      </c>
      <c r="N107" s="112">
        <v>0</v>
      </c>
      <c r="O107" s="133">
        <f>1.11*((N107*$F107*$F108)+(N107*0.2*$F109)+(N107*0.1*$F110)+(N110*$F111))</f>
        <v>0</v>
      </c>
      <c r="P107" s="137">
        <v>0</v>
      </c>
      <c r="Q107" s="133">
        <f>1.14*((P107*$F107*$F108)+(P107*0.2*$F109)+(P107*0.1*$F110)+(P110*$F111))</f>
        <v>0</v>
      </c>
      <c r="R107" s="112">
        <v>0</v>
      </c>
      <c r="S107" s="133">
        <f>1.172*((R107*$F107*$F108)+(R107*0.2*$F109)+(R107*0.1*$F110)+(R110*$F111))</f>
        <v>0</v>
      </c>
      <c r="T107" s="137">
        <v>0</v>
      </c>
      <c r="U107" s="133">
        <f>1.206*((T107*$F107*$F108)+(T107*0.2*$F109)+(T107*0.1*$F110)+(T110*$F111))</f>
        <v>0</v>
      </c>
      <c r="V107" s="112">
        <v>0</v>
      </c>
      <c r="W107" s="133">
        <f>1.242*((V107*$F107*$F108)+(V107*0.2*$F109)+(V107*0.1*$F110)+(V110*$F111))</f>
        <v>0</v>
      </c>
      <c r="X107" s="137">
        <v>0</v>
      </c>
      <c r="Y107" s="140">
        <f>(X107*$F107*$F108)+(X107*0.2*$F109)+(X107*0.1*$F110)+(X110*$F111)</f>
        <v>0</v>
      </c>
      <c r="Z107" s="112">
        <v>0</v>
      </c>
      <c r="AA107" s="133">
        <f>(Z107*$F107*$F108)+(Z107*0.2*$F109)+(Z107*0.1*$F110)+(Z110*$F111)</f>
        <v>0</v>
      </c>
      <c r="AB107" s="3"/>
      <c r="AC107" s="3"/>
    </row>
    <row r="108" spans="2:29" ht="30" customHeight="1" x14ac:dyDescent="0.3">
      <c r="B108" s="119"/>
      <c r="C108" s="151"/>
      <c r="D108" s="153"/>
      <c r="E108" s="11" t="s">
        <v>20</v>
      </c>
      <c r="F108" s="12">
        <f>$D$1*Rates!H23</f>
        <v>200</v>
      </c>
      <c r="G108" s="142"/>
      <c r="H108" s="135"/>
      <c r="I108" s="134"/>
      <c r="J108" s="135"/>
      <c r="K108" s="134"/>
      <c r="L108" s="138"/>
      <c r="M108" s="134"/>
      <c r="N108" s="135"/>
      <c r="O108" s="134"/>
      <c r="P108" s="138"/>
      <c r="Q108" s="134"/>
      <c r="R108" s="135"/>
      <c r="S108" s="134"/>
      <c r="T108" s="138"/>
      <c r="U108" s="134"/>
      <c r="V108" s="135"/>
      <c r="W108" s="134"/>
      <c r="X108" s="138"/>
      <c r="Y108" s="141"/>
      <c r="Z108" s="135"/>
      <c r="AA108" s="134"/>
      <c r="AB108" s="3"/>
      <c r="AC108" s="3"/>
    </row>
    <row r="109" spans="2:29" ht="30" customHeight="1" x14ac:dyDescent="0.3">
      <c r="B109" s="119"/>
      <c r="C109" s="151"/>
      <c r="D109" s="153"/>
      <c r="E109" s="11" t="s">
        <v>21</v>
      </c>
      <c r="F109" s="12">
        <f>$D$1*Rates!I23</f>
        <v>400</v>
      </c>
      <c r="G109" s="155"/>
      <c r="H109" s="136"/>
      <c r="I109" s="134"/>
      <c r="J109" s="136"/>
      <c r="K109" s="134"/>
      <c r="L109" s="139"/>
      <c r="M109" s="134"/>
      <c r="N109" s="136"/>
      <c r="O109" s="134"/>
      <c r="P109" s="139"/>
      <c r="Q109" s="134"/>
      <c r="R109" s="136"/>
      <c r="S109" s="134"/>
      <c r="T109" s="139"/>
      <c r="U109" s="134"/>
      <c r="V109" s="136"/>
      <c r="W109" s="134"/>
      <c r="X109" s="139"/>
      <c r="Y109" s="141"/>
      <c r="Z109" s="136"/>
      <c r="AA109" s="134"/>
      <c r="AB109" s="3"/>
      <c r="AC109" s="3"/>
    </row>
    <row r="110" spans="2:29" ht="30" customHeight="1" x14ac:dyDescent="0.3">
      <c r="B110" s="119"/>
      <c r="C110" s="151"/>
      <c r="D110" s="153"/>
      <c r="E110" s="11" t="s">
        <v>22</v>
      </c>
      <c r="F110" s="12">
        <f>$D$1*Rates!J23</f>
        <v>800</v>
      </c>
      <c r="G110" s="142" t="s">
        <v>230</v>
      </c>
      <c r="H110" s="144"/>
      <c r="I110" s="134"/>
      <c r="J110" s="144">
        <v>0</v>
      </c>
      <c r="K110" s="134"/>
      <c r="L110" s="145">
        <v>0</v>
      </c>
      <c r="M110" s="134"/>
      <c r="N110" s="144">
        <v>0</v>
      </c>
      <c r="O110" s="134"/>
      <c r="P110" s="145">
        <v>0</v>
      </c>
      <c r="Q110" s="134"/>
      <c r="R110" s="144">
        <v>0</v>
      </c>
      <c r="S110" s="134"/>
      <c r="T110" s="145">
        <v>0</v>
      </c>
      <c r="U110" s="134"/>
      <c r="V110" s="144">
        <v>0</v>
      </c>
      <c r="W110" s="134"/>
      <c r="X110" s="145">
        <v>0</v>
      </c>
      <c r="Y110" s="141"/>
      <c r="Z110" s="144">
        <v>0</v>
      </c>
      <c r="AA110" s="134"/>
      <c r="AB110" s="3"/>
      <c r="AC110" s="3"/>
    </row>
    <row r="111" spans="2:29" ht="30" customHeight="1" x14ac:dyDescent="0.3">
      <c r="B111" s="119"/>
      <c r="C111" s="151"/>
      <c r="D111" s="153"/>
      <c r="E111" s="146" t="s">
        <v>24</v>
      </c>
      <c r="F111" s="148">
        <f>$D$1*Rates!K23</f>
        <v>800</v>
      </c>
      <c r="G111" s="142"/>
      <c r="H111" s="135"/>
      <c r="I111" s="134"/>
      <c r="J111" s="135"/>
      <c r="K111" s="134"/>
      <c r="L111" s="138"/>
      <c r="M111" s="134"/>
      <c r="N111" s="135"/>
      <c r="O111" s="134"/>
      <c r="P111" s="138"/>
      <c r="Q111" s="134"/>
      <c r="R111" s="135"/>
      <c r="S111" s="134"/>
      <c r="T111" s="138"/>
      <c r="U111" s="134"/>
      <c r="V111" s="135"/>
      <c r="W111" s="134"/>
      <c r="X111" s="138"/>
      <c r="Y111" s="141"/>
      <c r="Z111" s="135"/>
      <c r="AA111" s="134"/>
      <c r="AB111" s="3"/>
      <c r="AC111" s="3"/>
    </row>
    <row r="112" spans="2:29" ht="30" customHeight="1" thickBot="1" x14ac:dyDescent="0.35">
      <c r="B112" s="120"/>
      <c r="C112" s="151"/>
      <c r="D112" s="153"/>
      <c r="E112" s="147"/>
      <c r="F112" s="149">
        <f>$D$1*[1]Rates!J104</f>
        <v>0</v>
      </c>
      <c r="G112" s="143"/>
      <c r="H112" s="135"/>
      <c r="I112" s="134"/>
      <c r="J112" s="135"/>
      <c r="K112" s="134"/>
      <c r="L112" s="138"/>
      <c r="M112" s="134"/>
      <c r="N112" s="135"/>
      <c r="O112" s="134"/>
      <c r="P112" s="138"/>
      <c r="Q112" s="134"/>
      <c r="R112" s="135"/>
      <c r="S112" s="134"/>
      <c r="T112" s="138"/>
      <c r="U112" s="134"/>
      <c r="V112" s="135"/>
      <c r="W112" s="134"/>
      <c r="X112" s="138"/>
      <c r="Y112" s="141"/>
      <c r="Z112" s="135"/>
      <c r="AA112" s="134"/>
      <c r="AB112" s="3"/>
      <c r="AC112" s="3"/>
    </row>
    <row r="113" spans="2:29" ht="39.75" customHeight="1" x14ac:dyDescent="0.3">
      <c r="B113" s="118" t="s">
        <v>95</v>
      </c>
      <c r="C113" s="150" t="s">
        <v>102</v>
      </c>
      <c r="D113" s="152" t="s">
        <v>179</v>
      </c>
      <c r="E113" s="9" t="s">
        <v>45</v>
      </c>
      <c r="F113" s="13">
        <f>Rates!N45</f>
        <v>0.05</v>
      </c>
      <c r="G113" s="171" t="s">
        <v>231</v>
      </c>
      <c r="H113" s="161"/>
      <c r="I113" s="159">
        <f>1.027*(H113*$F113*$F114)</f>
        <v>0</v>
      </c>
      <c r="J113" s="161">
        <v>0</v>
      </c>
      <c r="K113" s="159">
        <f>1.056*(J113*$F113*$F114)</f>
        <v>0</v>
      </c>
      <c r="L113" s="156">
        <v>0</v>
      </c>
      <c r="M113" s="159">
        <f>1.083*(L113*$F113*$F114)</f>
        <v>0</v>
      </c>
      <c r="N113" s="161">
        <v>0</v>
      </c>
      <c r="O113" s="159">
        <f>1.11*(N113*$F113*$F114)</f>
        <v>0</v>
      </c>
      <c r="P113" s="156">
        <v>0</v>
      </c>
      <c r="Q113" s="159">
        <f>1.14*(P113*$F113*$F114)</f>
        <v>0</v>
      </c>
      <c r="R113" s="161">
        <v>0</v>
      </c>
      <c r="S113" s="159">
        <f>1.172*(R113*$F113*$F114)</f>
        <v>0</v>
      </c>
      <c r="T113" s="156">
        <v>0</v>
      </c>
      <c r="U113" s="159">
        <f>1.206*(T113*$F113*$F114)</f>
        <v>0</v>
      </c>
      <c r="V113" s="161">
        <v>0</v>
      </c>
      <c r="W113" s="159">
        <f>1.242*(V113*$F113*$F114)</f>
        <v>0</v>
      </c>
      <c r="X113" s="156">
        <v>0</v>
      </c>
      <c r="Y113" s="175">
        <f>(X113*$F113*$F114)</f>
        <v>0</v>
      </c>
      <c r="Z113" s="161">
        <v>0</v>
      </c>
      <c r="AA113" s="159">
        <f>(Z113*$F113*$F114)</f>
        <v>0</v>
      </c>
    </row>
    <row r="114" spans="2:29" ht="45.75" customHeight="1" thickBot="1" x14ac:dyDescent="0.35">
      <c r="B114" s="119"/>
      <c r="C114" s="174"/>
      <c r="D114" s="170"/>
      <c r="E114" s="14" t="s">
        <v>46</v>
      </c>
      <c r="F114" s="15">
        <f>Rates!O45</f>
        <v>900</v>
      </c>
      <c r="G114" s="172"/>
      <c r="H114" s="163"/>
      <c r="I114" s="160"/>
      <c r="J114" s="163"/>
      <c r="K114" s="160"/>
      <c r="L114" s="158"/>
      <c r="M114" s="160"/>
      <c r="N114" s="163"/>
      <c r="O114" s="160"/>
      <c r="P114" s="158"/>
      <c r="Q114" s="160"/>
      <c r="R114" s="163"/>
      <c r="S114" s="160"/>
      <c r="T114" s="158"/>
      <c r="U114" s="160"/>
      <c r="V114" s="163"/>
      <c r="W114" s="160"/>
      <c r="X114" s="158"/>
      <c r="Y114" s="176"/>
      <c r="Z114" s="163"/>
      <c r="AA114" s="160"/>
    </row>
    <row r="115" spans="2:29" ht="39.75" customHeight="1" x14ac:dyDescent="0.3">
      <c r="B115" s="119"/>
      <c r="C115" s="150" t="s">
        <v>90</v>
      </c>
      <c r="D115" s="152" t="s">
        <v>180</v>
      </c>
      <c r="E115" s="9" t="s">
        <v>45</v>
      </c>
      <c r="F115" s="13">
        <f>Rates!N46</f>
        <v>0.05</v>
      </c>
      <c r="G115" s="171" t="s">
        <v>232</v>
      </c>
      <c r="H115" s="161"/>
      <c r="I115" s="159">
        <f>1.027*(H115*$F115*$F116)</f>
        <v>0</v>
      </c>
      <c r="J115" s="161">
        <v>0</v>
      </c>
      <c r="K115" s="159">
        <f>1.056*(J115*$F115*$F116)</f>
        <v>0</v>
      </c>
      <c r="L115" s="156">
        <v>0</v>
      </c>
      <c r="M115" s="159">
        <f>1.083*(L115*$F115*$F116)</f>
        <v>0</v>
      </c>
      <c r="N115" s="161">
        <v>0</v>
      </c>
      <c r="O115" s="159">
        <f>1.11*(N115*$F115*$F116)</f>
        <v>0</v>
      </c>
      <c r="P115" s="156">
        <v>0</v>
      </c>
      <c r="Q115" s="159">
        <f>1.14*(P115*$F115*$F116)</f>
        <v>0</v>
      </c>
      <c r="R115" s="161">
        <v>0</v>
      </c>
      <c r="S115" s="159">
        <f>1.172*(R115*$F115*$F116)</f>
        <v>0</v>
      </c>
      <c r="T115" s="156">
        <v>0</v>
      </c>
      <c r="U115" s="159">
        <f>1.206*(T115*$F115*$F116)</f>
        <v>0</v>
      </c>
      <c r="V115" s="161">
        <v>0</v>
      </c>
      <c r="W115" s="159">
        <f>1.242*(V115*$F115*$F116)</f>
        <v>0</v>
      </c>
      <c r="X115" s="156">
        <v>0</v>
      </c>
      <c r="Y115" s="175">
        <f>(X115*$F115*$F116)</f>
        <v>0</v>
      </c>
      <c r="Z115" s="161">
        <v>0</v>
      </c>
      <c r="AA115" s="159">
        <f>(Z115*$F115*$F116)</f>
        <v>0</v>
      </c>
    </row>
    <row r="116" spans="2:29" ht="45.75" customHeight="1" thickBot="1" x14ac:dyDescent="0.35">
      <c r="B116" s="119"/>
      <c r="C116" s="174"/>
      <c r="D116" s="170"/>
      <c r="E116" s="14" t="s">
        <v>46</v>
      </c>
      <c r="F116" s="15">
        <f>Rates!O46</f>
        <v>900</v>
      </c>
      <c r="G116" s="172"/>
      <c r="H116" s="163"/>
      <c r="I116" s="160"/>
      <c r="J116" s="163"/>
      <c r="K116" s="160"/>
      <c r="L116" s="158"/>
      <c r="M116" s="160"/>
      <c r="N116" s="163"/>
      <c r="O116" s="160"/>
      <c r="P116" s="158"/>
      <c r="Q116" s="160"/>
      <c r="R116" s="163"/>
      <c r="S116" s="160"/>
      <c r="T116" s="158"/>
      <c r="U116" s="160"/>
      <c r="V116" s="163"/>
      <c r="W116" s="160"/>
      <c r="X116" s="158"/>
      <c r="Y116" s="176"/>
      <c r="Z116" s="163"/>
      <c r="AA116" s="160"/>
    </row>
    <row r="117" spans="2:29" ht="39.75" customHeight="1" x14ac:dyDescent="0.3">
      <c r="B117" s="119"/>
      <c r="C117" s="150" t="s">
        <v>91</v>
      </c>
      <c r="D117" s="152" t="s">
        <v>180</v>
      </c>
      <c r="E117" s="9" t="s">
        <v>45</v>
      </c>
      <c r="F117" s="13">
        <f>Rates!N47</f>
        <v>0.05</v>
      </c>
      <c r="G117" s="171" t="s">
        <v>233</v>
      </c>
      <c r="H117" s="161"/>
      <c r="I117" s="159">
        <f>1.027*(H117*$F117*$F118)</f>
        <v>0</v>
      </c>
      <c r="J117" s="161">
        <v>0</v>
      </c>
      <c r="K117" s="159">
        <f>1.056*(J117*$F117*$F118)</f>
        <v>0</v>
      </c>
      <c r="L117" s="156">
        <v>0</v>
      </c>
      <c r="M117" s="159">
        <f>1.083*(L117*$F117*$F118)</f>
        <v>0</v>
      </c>
      <c r="N117" s="161">
        <v>0</v>
      </c>
      <c r="O117" s="159">
        <f>1.11*(N117*$F117*$F118)</f>
        <v>0</v>
      </c>
      <c r="P117" s="156">
        <v>0</v>
      </c>
      <c r="Q117" s="159">
        <f>1.14*(P117*$F117*$F118)</f>
        <v>0</v>
      </c>
      <c r="R117" s="161">
        <v>0</v>
      </c>
      <c r="S117" s="159">
        <f>1.172*(R117*$F117*$F118)</f>
        <v>0</v>
      </c>
      <c r="T117" s="156">
        <v>0</v>
      </c>
      <c r="U117" s="159">
        <f>1.206*(T117*$F117*$F118)</f>
        <v>0</v>
      </c>
      <c r="V117" s="161">
        <v>0</v>
      </c>
      <c r="W117" s="159">
        <f>1.242*(V117*$F117*$F118)</f>
        <v>0</v>
      </c>
      <c r="X117" s="156">
        <v>0</v>
      </c>
      <c r="Y117" s="175">
        <f>(X117*$F117*$F118)</f>
        <v>0</v>
      </c>
      <c r="Z117" s="161">
        <v>0</v>
      </c>
      <c r="AA117" s="159">
        <f>(Z117*$F117*$F118)</f>
        <v>0</v>
      </c>
    </row>
    <row r="118" spans="2:29" ht="45.75" customHeight="1" thickBot="1" x14ac:dyDescent="0.35">
      <c r="B118" s="120"/>
      <c r="C118" s="174"/>
      <c r="D118" s="170"/>
      <c r="E118" s="14" t="s">
        <v>46</v>
      </c>
      <c r="F118" s="15">
        <f>Rates!O47</f>
        <v>900</v>
      </c>
      <c r="G118" s="172"/>
      <c r="H118" s="163"/>
      <c r="I118" s="160"/>
      <c r="J118" s="163"/>
      <c r="K118" s="160"/>
      <c r="L118" s="158"/>
      <c r="M118" s="160"/>
      <c r="N118" s="163"/>
      <c r="O118" s="160"/>
      <c r="P118" s="158"/>
      <c r="Q118" s="160"/>
      <c r="R118" s="163"/>
      <c r="S118" s="160"/>
      <c r="T118" s="158"/>
      <c r="U118" s="160"/>
      <c r="V118" s="163"/>
      <c r="W118" s="160"/>
      <c r="X118" s="158"/>
      <c r="Y118" s="176"/>
      <c r="Z118" s="163"/>
      <c r="AA118" s="160"/>
    </row>
    <row r="119" spans="2:29" ht="30" customHeight="1" x14ac:dyDescent="0.3">
      <c r="B119" s="118" t="s">
        <v>96</v>
      </c>
      <c r="C119" s="150" t="s">
        <v>102</v>
      </c>
      <c r="D119" s="152" t="s">
        <v>181</v>
      </c>
      <c r="E119" s="9" t="s">
        <v>18</v>
      </c>
      <c r="F119" s="10">
        <v>3</v>
      </c>
      <c r="G119" s="154" t="s">
        <v>234</v>
      </c>
      <c r="H119" s="112"/>
      <c r="I119" s="133">
        <f>1.027*((H119*$F119*$F120)+(H119*0.2*$F121)+(H119*0.1*$F122)+(H122*$F123))</f>
        <v>0</v>
      </c>
      <c r="J119" s="112">
        <v>0</v>
      </c>
      <c r="K119" s="133">
        <f>1.056*((J119*$F119*$F120)+(J119*0.2*$F121)+(J119*0.1*$F122)+(J122*$F123))</f>
        <v>0</v>
      </c>
      <c r="L119" s="137">
        <v>0</v>
      </c>
      <c r="M119" s="133">
        <f>1.083*((L119*$F119*$F120)+(L119*0.2*$F121)+(L119*0.1*$F122)+(L122*$F123))</f>
        <v>0</v>
      </c>
      <c r="N119" s="112">
        <v>0</v>
      </c>
      <c r="O119" s="133">
        <f>1.11*((N119*$F119*$F120)+(N119*0.2*$F121)+(N119*0.1*$F122)+(N122*$F123))</f>
        <v>0</v>
      </c>
      <c r="P119" s="137">
        <v>0</v>
      </c>
      <c r="Q119" s="133">
        <f>1.14*((P119*$F119*$F120)+(P119*0.2*$F121)+(P119*0.1*$F122)+(P122*$F123))</f>
        <v>0</v>
      </c>
      <c r="R119" s="112">
        <v>0</v>
      </c>
      <c r="S119" s="133">
        <f>1.172*((R119*$F119*$F120)+(R119*0.2*$F121)+(R119*0.1*$F122)+(R122*$F123))</f>
        <v>0</v>
      </c>
      <c r="T119" s="137">
        <v>0</v>
      </c>
      <c r="U119" s="133">
        <f>1.206*((T119*$F119*$F120)+(T119*0.2*$F121)+(T119*0.1*$F122)+(T122*$F123))</f>
        <v>0</v>
      </c>
      <c r="V119" s="112">
        <v>0</v>
      </c>
      <c r="W119" s="133">
        <f>1.242*((V119*$F119*$F120)+(V119*0.2*$F121)+(V119*0.1*$F122)+(V122*$F123))</f>
        <v>0</v>
      </c>
      <c r="X119" s="137">
        <v>0</v>
      </c>
      <c r="Y119" s="140">
        <f>(X119*$F119*$F120)+(X119*0.2*$F121)+(X119*0.1*$F122)+(X122*$F123)</f>
        <v>0</v>
      </c>
      <c r="Z119" s="112">
        <v>0</v>
      </c>
      <c r="AA119" s="133">
        <f>(Z119*$F119*$F120)+(Z119*0.2*$F121)+(Z119*0.1*$F122)+(Z122*$F123)</f>
        <v>0</v>
      </c>
      <c r="AB119" s="3"/>
      <c r="AC119" s="3"/>
    </row>
    <row r="120" spans="2:29" ht="30" customHeight="1" x14ac:dyDescent="0.3">
      <c r="B120" s="119"/>
      <c r="C120" s="151"/>
      <c r="D120" s="153"/>
      <c r="E120" s="11" t="s">
        <v>20</v>
      </c>
      <c r="F120" s="12">
        <f>$D$1*Rates!H24</f>
        <v>150.05655000000002</v>
      </c>
      <c r="G120" s="142"/>
      <c r="H120" s="135"/>
      <c r="I120" s="134"/>
      <c r="J120" s="135"/>
      <c r="K120" s="134"/>
      <c r="L120" s="138"/>
      <c r="M120" s="134"/>
      <c r="N120" s="135"/>
      <c r="O120" s="134"/>
      <c r="P120" s="138"/>
      <c r="Q120" s="134"/>
      <c r="R120" s="135"/>
      <c r="S120" s="134"/>
      <c r="T120" s="138"/>
      <c r="U120" s="134"/>
      <c r="V120" s="135"/>
      <c r="W120" s="134"/>
      <c r="X120" s="138"/>
      <c r="Y120" s="141"/>
      <c r="Z120" s="135"/>
      <c r="AA120" s="134"/>
      <c r="AB120" s="3"/>
      <c r="AC120" s="3"/>
    </row>
    <row r="121" spans="2:29" ht="30" customHeight="1" x14ac:dyDescent="0.3">
      <c r="B121" s="119"/>
      <c r="C121" s="151"/>
      <c r="D121" s="153"/>
      <c r="E121" s="11" t="s">
        <v>21</v>
      </c>
      <c r="F121" s="12">
        <f>$D$1*Rates!I24</f>
        <v>413.84654999999998</v>
      </c>
      <c r="G121" s="155"/>
      <c r="H121" s="136"/>
      <c r="I121" s="134"/>
      <c r="J121" s="136"/>
      <c r="K121" s="134"/>
      <c r="L121" s="139"/>
      <c r="M121" s="134"/>
      <c r="N121" s="136"/>
      <c r="O121" s="134"/>
      <c r="P121" s="139"/>
      <c r="Q121" s="134"/>
      <c r="R121" s="136"/>
      <c r="S121" s="134"/>
      <c r="T121" s="139"/>
      <c r="U121" s="134"/>
      <c r="V121" s="136"/>
      <c r="W121" s="134"/>
      <c r="X121" s="139"/>
      <c r="Y121" s="141"/>
      <c r="Z121" s="136"/>
      <c r="AA121" s="134"/>
      <c r="AB121" s="3"/>
      <c r="AC121" s="3"/>
    </row>
    <row r="122" spans="2:29" ht="30" customHeight="1" x14ac:dyDescent="0.3">
      <c r="B122" s="119"/>
      <c r="C122" s="151"/>
      <c r="D122" s="153"/>
      <c r="E122" s="11" t="s">
        <v>22</v>
      </c>
      <c r="F122" s="12">
        <f>$D$1*Rates!J24</f>
        <v>1378.79955</v>
      </c>
      <c r="G122" s="142" t="s">
        <v>47</v>
      </c>
      <c r="H122" s="144"/>
      <c r="I122" s="134"/>
      <c r="J122" s="144">
        <v>0</v>
      </c>
      <c r="K122" s="134"/>
      <c r="L122" s="145">
        <v>0</v>
      </c>
      <c r="M122" s="134"/>
      <c r="N122" s="144">
        <v>0</v>
      </c>
      <c r="O122" s="134"/>
      <c r="P122" s="145">
        <v>0</v>
      </c>
      <c r="Q122" s="134"/>
      <c r="R122" s="144">
        <v>0</v>
      </c>
      <c r="S122" s="134"/>
      <c r="T122" s="145">
        <v>0</v>
      </c>
      <c r="U122" s="134"/>
      <c r="V122" s="144">
        <v>0</v>
      </c>
      <c r="W122" s="134"/>
      <c r="X122" s="145">
        <v>0</v>
      </c>
      <c r="Y122" s="141"/>
      <c r="Z122" s="144">
        <v>0</v>
      </c>
      <c r="AA122" s="134"/>
      <c r="AB122" s="3"/>
      <c r="AC122" s="3"/>
    </row>
    <row r="123" spans="2:29" ht="30" customHeight="1" x14ac:dyDescent="0.3">
      <c r="B123" s="119"/>
      <c r="C123" s="151"/>
      <c r="D123" s="153"/>
      <c r="E123" s="146" t="s">
        <v>24</v>
      </c>
      <c r="F123" s="148">
        <f>$D$1*Rates!K24</f>
        <v>1588.6207979999999</v>
      </c>
      <c r="G123" s="142"/>
      <c r="H123" s="135"/>
      <c r="I123" s="134"/>
      <c r="J123" s="135"/>
      <c r="K123" s="134"/>
      <c r="L123" s="138"/>
      <c r="M123" s="134"/>
      <c r="N123" s="135"/>
      <c r="O123" s="134"/>
      <c r="P123" s="138"/>
      <c r="Q123" s="134"/>
      <c r="R123" s="135"/>
      <c r="S123" s="134"/>
      <c r="T123" s="138"/>
      <c r="U123" s="134"/>
      <c r="V123" s="135"/>
      <c r="W123" s="134"/>
      <c r="X123" s="138"/>
      <c r="Y123" s="141"/>
      <c r="Z123" s="135"/>
      <c r="AA123" s="134"/>
      <c r="AB123" s="3"/>
      <c r="AC123" s="3"/>
    </row>
    <row r="124" spans="2:29" ht="30" customHeight="1" thickBot="1" x14ac:dyDescent="0.35">
      <c r="B124" s="119"/>
      <c r="C124" s="151"/>
      <c r="D124" s="153"/>
      <c r="E124" s="147"/>
      <c r="F124" s="149">
        <f>$D$1*[1]Rates!J116</f>
        <v>0</v>
      </c>
      <c r="G124" s="143"/>
      <c r="H124" s="135"/>
      <c r="I124" s="134"/>
      <c r="J124" s="135"/>
      <c r="K124" s="134"/>
      <c r="L124" s="138"/>
      <c r="M124" s="134"/>
      <c r="N124" s="135"/>
      <c r="O124" s="134"/>
      <c r="P124" s="138"/>
      <c r="Q124" s="134"/>
      <c r="R124" s="135"/>
      <c r="S124" s="134"/>
      <c r="T124" s="138"/>
      <c r="U124" s="134"/>
      <c r="V124" s="135"/>
      <c r="W124" s="134"/>
      <c r="X124" s="138"/>
      <c r="Y124" s="141"/>
      <c r="Z124" s="135"/>
      <c r="AA124" s="134"/>
      <c r="AB124" s="3"/>
      <c r="AC124" s="3"/>
    </row>
    <row r="125" spans="2:29" ht="30" customHeight="1" x14ac:dyDescent="0.3">
      <c r="B125" s="119"/>
      <c r="C125" s="150" t="s">
        <v>90</v>
      </c>
      <c r="D125" s="152" t="s">
        <v>181</v>
      </c>
      <c r="E125" s="9" t="s">
        <v>18</v>
      </c>
      <c r="F125" s="10">
        <v>3</v>
      </c>
      <c r="G125" s="154" t="s">
        <v>235</v>
      </c>
      <c r="H125" s="112"/>
      <c r="I125" s="133">
        <f>1.027*((H125*$F125*$F126)+(H125*0.2*$F127)+(H125*0.1*$F128)+(H128*$F129))</f>
        <v>0</v>
      </c>
      <c r="J125" s="112">
        <v>0</v>
      </c>
      <c r="K125" s="133">
        <f>1.056*((J125*$F125*$F126)+(J125*0.2*$F127)+(J125*0.1*$F128)+(J128*$F129))</f>
        <v>0</v>
      </c>
      <c r="L125" s="137">
        <v>0</v>
      </c>
      <c r="M125" s="133">
        <f>1.083*((L125*$F125*$F126)+(L125*0.2*$F127)+(L125*0.1*$F128)+(L128*$F129))</f>
        <v>0</v>
      </c>
      <c r="N125" s="112">
        <v>0</v>
      </c>
      <c r="O125" s="133">
        <f>1.11*((N125*$F125*$F126)+(N125*0.2*$F127)+(N125*0.1*$F128)+(N128*$F129))</f>
        <v>0</v>
      </c>
      <c r="P125" s="137">
        <v>0</v>
      </c>
      <c r="Q125" s="133">
        <f>1.14*((P125*$F125*$F126)+(P125*0.2*$F127)+(P125*0.1*$F128)+(P128*$F129))</f>
        <v>0</v>
      </c>
      <c r="R125" s="112">
        <v>0</v>
      </c>
      <c r="S125" s="133">
        <f>1.172*((R125*$F125*$F126)+(R125*0.2*$F127)+(R125*0.1*$F128)+(R128*$F129))</f>
        <v>0</v>
      </c>
      <c r="T125" s="137">
        <v>0</v>
      </c>
      <c r="U125" s="133">
        <f>1.206*((T125*$F125*$F126)+(T125*0.2*$F127)+(T125*0.1*$F128)+(T128*$F129))</f>
        <v>0</v>
      </c>
      <c r="V125" s="112">
        <v>0</v>
      </c>
      <c r="W125" s="133">
        <f>1.242*((V125*$F125*$F126)+(V125*0.2*$F127)+(V125*0.1*$F128)+(V128*$F129))</f>
        <v>0</v>
      </c>
      <c r="X125" s="137">
        <v>0</v>
      </c>
      <c r="Y125" s="140">
        <f>(X125*$F125*$F126)+(X125*0.2*$F127)+(X125*0.1*$F128)+(X128*$F129)</f>
        <v>0</v>
      </c>
      <c r="Z125" s="112">
        <v>0</v>
      </c>
      <c r="AA125" s="133">
        <f>(Z125*$F125*$F126)+(Z125*0.2*$F127)+(Z125*0.1*$F128)+(Z128*$F129)</f>
        <v>0</v>
      </c>
      <c r="AB125" s="3"/>
      <c r="AC125" s="3"/>
    </row>
    <row r="126" spans="2:29" ht="30" customHeight="1" x14ac:dyDescent="0.3">
      <c r="B126" s="119"/>
      <c r="C126" s="151"/>
      <c r="D126" s="153"/>
      <c r="E126" s="11" t="s">
        <v>20</v>
      </c>
      <c r="F126" s="12">
        <f>$D$1*Rates!H25</f>
        <v>150.05655000000002</v>
      </c>
      <c r="G126" s="142"/>
      <c r="H126" s="135"/>
      <c r="I126" s="134"/>
      <c r="J126" s="135"/>
      <c r="K126" s="134"/>
      <c r="L126" s="138"/>
      <c r="M126" s="134"/>
      <c r="N126" s="135"/>
      <c r="O126" s="134"/>
      <c r="P126" s="138"/>
      <c r="Q126" s="134"/>
      <c r="R126" s="135"/>
      <c r="S126" s="134"/>
      <c r="T126" s="138"/>
      <c r="U126" s="134"/>
      <c r="V126" s="135"/>
      <c r="W126" s="134"/>
      <c r="X126" s="138"/>
      <c r="Y126" s="141"/>
      <c r="Z126" s="135"/>
      <c r="AA126" s="134"/>
      <c r="AB126" s="3"/>
      <c r="AC126" s="3"/>
    </row>
    <row r="127" spans="2:29" ht="30" customHeight="1" x14ac:dyDescent="0.3">
      <c r="B127" s="119"/>
      <c r="C127" s="151"/>
      <c r="D127" s="153"/>
      <c r="E127" s="11" t="s">
        <v>21</v>
      </c>
      <c r="F127" s="12">
        <f>$D$1*Rates!I25</f>
        <v>413.84654999999998</v>
      </c>
      <c r="G127" s="155"/>
      <c r="H127" s="136"/>
      <c r="I127" s="134"/>
      <c r="J127" s="136"/>
      <c r="K127" s="134"/>
      <c r="L127" s="139"/>
      <c r="M127" s="134"/>
      <c r="N127" s="136"/>
      <c r="O127" s="134"/>
      <c r="P127" s="139"/>
      <c r="Q127" s="134"/>
      <c r="R127" s="136"/>
      <c r="S127" s="134"/>
      <c r="T127" s="139"/>
      <c r="U127" s="134"/>
      <c r="V127" s="136"/>
      <c r="W127" s="134"/>
      <c r="X127" s="139"/>
      <c r="Y127" s="141"/>
      <c r="Z127" s="136"/>
      <c r="AA127" s="134"/>
      <c r="AB127" s="3"/>
      <c r="AC127" s="3"/>
    </row>
    <row r="128" spans="2:29" ht="30" customHeight="1" x14ac:dyDescent="0.3">
      <c r="B128" s="119"/>
      <c r="C128" s="151"/>
      <c r="D128" s="153"/>
      <c r="E128" s="11" t="s">
        <v>22</v>
      </c>
      <c r="F128" s="12">
        <f>$D$1*Rates!J25</f>
        <v>1378.79955</v>
      </c>
      <c r="G128" s="142" t="s">
        <v>47</v>
      </c>
      <c r="H128" s="144"/>
      <c r="I128" s="134"/>
      <c r="J128" s="144">
        <v>0</v>
      </c>
      <c r="K128" s="134"/>
      <c r="L128" s="145">
        <v>0</v>
      </c>
      <c r="M128" s="134"/>
      <c r="N128" s="144">
        <v>0</v>
      </c>
      <c r="O128" s="134"/>
      <c r="P128" s="145">
        <v>0</v>
      </c>
      <c r="Q128" s="134"/>
      <c r="R128" s="144">
        <v>0</v>
      </c>
      <c r="S128" s="134"/>
      <c r="T128" s="145">
        <v>0</v>
      </c>
      <c r="U128" s="134"/>
      <c r="V128" s="144">
        <v>0</v>
      </c>
      <c r="W128" s="134"/>
      <c r="X128" s="145">
        <v>0</v>
      </c>
      <c r="Y128" s="141"/>
      <c r="Z128" s="144">
        <v>0</v>
      </c>
      <c r="AA128" s="134"/>
      <c r="AB128" s="3"/>
      <c r="AC128" s="3"/>
    </row>
    <row r="129" spans="2:29" ht="30" customHeight="1" x14ac:dyDescent="0.3">
      <c r="B129" s="119"/>
      <c r="C129" s="151"/>
      <c r="D129" s="153"/>
      <c r="E129" s="146" t="s">
        <v>24</v>
      </c>
      <c r="F129" s="148">
        <f>$D$1*Rates!K25</f>
        <v>1588.6207979999999</v>
      </c>
      <c r="G129" s="142"/>
      <c r="H129" s="135"/>
      <c r="I129" s="134"/>
      <c r="J129" s="135"/>
      <c r="K129" s="134"/>
      <c r="L129" s="138"/>
      <c r="M129" s="134"/>
      <c r="N129" s="135"/>
      <c r="O129" s="134"/>
      <c r="P129" s="138"/>
      <c r="Q129" s="134"/>
      <c r="R129" s="135"/>
      <c r="S129" s="134"/>
      <c r="T129" s="138"/>
      <c r="U129" s="134"/>
      <c r="V129" s="135"/>
      <c r="W129" s="134"/>
      <c r="X129" s="138"/>
      <c r="Y129" s="141"/>
      <c r="Z129" s="135"/>
      <c r="AA129" s="134"/>
      <c r="AB129" s="3"/>
      <c r="AC129" s="3"/>
    </row>
    <row r="130" spans="2:29" ht="30" customHeight="1" thickBot="1" x14ac:dyDescent="0.35">
      <c r="B130" s="119"/>
      <c r="C130" s="151"/>
      <c r="D130" s="153"/>
      <c r="E130" s="147"/>
      <c r="F130" s="149">
        <f>$D$1*[1]Rates!J122</f>
        <v>0</v>
      </c>
      <c r="G130" s="143"/>
      <c r="H130" s="135"/>
      <c r="I130" s="134"/>
      <c r="J130" s="135"/>
      <c r="K130" s="134"/>
      <c r="L130" s="138"/>
      <c r="M130" s="134"/>
      <c r="N130" s="135"/>
      <c r="O130" s="134"/>
      <c r="P130" s="138"/>
      <c r="Q130" s="134"/>
      <c r="R130" s="135"/>
      <c r="S130" s="134"/>
      <c r="T130" s="138"/>
      <c r="U130" s="134"/>
      <c r="V130" s="135"/>
      <c r="W130" s="134"/>
      <c r="X130" s="138"/>
      <c r="Y130" s="141"/>
      <c r="Z130" s="135"/>
      <c r="AA130" s="134"/>
      <c r="AB130" s="3"/>
      <c r="AC130" s="3"/>
    </row>
    <row r="131" spans="2:29" ht="30" customHeight="1" x14ac:dyDescent="0.3">
      <c r="B131" s="119"/>
      <c r="C131" s="150" t="s">
        <v>91</v>
      </c>
      <c r="D131" s="152" t="s">
        <v>181</v>
      </c>
      <c r="E131" s="9" t="s">
        <v>18</v>
      </c>
      <c r="F131" s="10">
        <v>3</v>
      </c>
      <c r="G131" s="154" t="s">
        <v>236</v>
      </c>
      <c r="H131" s="112"/>
      <c r="I131" s="133">
        <f>1.027*((H131*$F131*$F132)+(H131*0.2*$F133)+(H131*0.1*$F134)+(H134*$F135))</f>
        <v>0</v>
      </c>
      <c r="J131" s="112">
        <v>0</v>
      </c>
      <c r="K131" s="133">
        <f>1.056*((J131*$F131*$F132)+(J131*0.2*$F133)+(J131*0.1*$F134)+(J134*$F135))</f>
        <v>0</v>
      </c>
      <c r="L131" s="137">
        <v>0</v>
      </c>
      <c r="M131" s="133">
        <f>1.083*((L131*$F131*$F132)+(L131*0.2*$F133)+(L131*0.1*$F134)+(L134*$F135))</f>
        <v>0</v>
      </c>
      <c r="N131" s="112">
        <v>0</v>
      </c>
      <c r="O131" s="133">
        <f>1.11*((N131*$F131*$F132)+(N131*0.2*$F133)+(N131*0.1*$F134)+(N134*$F135))</f>
        <v>0</v>
      </c>
      <c r="P131" s="137">
        <v>0</v>
      </c>
      <c r="Q131" s="133">
        <f>1.14*((P131*$F131*$F132)+(P131*0.2*$F133)+(P131*0.1*$F134)+(P134*$F135))</f>
        <v>0</v>
      </c>
      <c r="R131" s="112">
        <v>0</v>
      </c>
      <c r="S131" s="133">
        <f>1.172*((R131*$F131*$F132)+(R131*0.2*$F133)+(R131*0.1*$F134)+(R134*$F135))</f>
        <v>0</v>
      </c>
      <c r="T131" s="137">
        <v>0</v>
      </c>
      <c r="U131" s="133">
        <f>1.206*((T131*$F131*$F132)+(T131*0.2*$F133)+(T131*0.1*$F134)+(T134*$F135))</f>
        <v>0</v>
      </c>
      <c r="V131" s="112">
        <v>0</v>
      </c>
      <c r="W131" s="133">
        <f>1.242*((V131*$F131*$F132)+(V131*0.2*$F133)+(V131*0.1*$F134)+(V134*$F135))</f>
        <v>0</v>
      </c>
      <c r="X131" s="137">
        <v>0</v>
      </c>
      <c r="Y131" s="140">
        <f>(X131*$F131*$F132)+(X131*0.2*$F133)+(X131*0.1*$F134)+(X134*$F135)</f>
        <v>0</v>
      </c>
      <c r="Z131" s="112">
        <v>0</v>
      </c>
      <c r="AA131" s="133">
        <f>(Z131*$F131*$F132)+(Z131*0.2*$F133)+(Z131*0.1*$F134)+(Z134*$F135)</f>
        <v>0</v>
      </c>
      <c r="AB131" s="3"/>
      <c r="AC131" s="3"/>
    </row>
    <row r="132" spans="2:29" ht="30" customHeight="1" x14ac:dyDescent="0.3">
      <c r="B132" s="119"/>
      <c r="C132" s="151"/>
      <c r="D132" s="153"/>
      <c r="E132" s="11" t="s">
        <v>20</v>
      </c>
      <c r="F132" s="12">
        <f>$D$1*Rates!H26</f>
        <v>200</v>
      </c>
      <c r="G132" s="142"/>
      <c r="H132" s="135"/>
      <c r="I132" s="134"/>
      <c r="J132" s="135"/>
      <c r="K132" s="134"/>
      <c r="L132" s="138"/>
      <c r="M132" s="134"/>
      <c r="N132" s="135"/>
      <c r="O132" s="134"/>
      <c r="P132" s="138"/>
      <c r="Q132" s="134"/>
      <c r="R132" s="135"/>
      <c r="S132" s="134"/>
      <c r="T132" s="138"/>
      <c r="U132" s="134"/>
      <c r="V132" s="135"/>
      <c r="W132" s="134"/>
      <c r="X132" s="138"/>
      <c r="Y132" s="141"/>
      <c r="Z132" s="135"/>
      <c r="AA132" s="134"/>
      <c r="AB132" s="3"/>
      <c r="AC132" s="3"/>
    </row>
    <row r="133" spans="2:29" ht="30" customHeight="1" x14ac:dyDescent="0.3">
      <c r="B133" s="119"/>
      <c r="C133" s="151"/>
      <c r="D133" s="153"/>
      <c r="E133" s="11" t="s">
        <v>21</v>
      </c>
      <c r="F133" s="12">
        <f>$D$1*Rates!I26</f>
        <v>600</v>
      </c>
      <c r="G133" s="155"/>
      <c r="H133" s="136"/>
      <c r="I133" s="134"/>
      <c r="J133" s="136"/>
      <c r="K133" s="134"/>
      <c r="L133" s="139"/>
      <c r="M133" s="134"/>
      <c r="N133" s="136"/>
      <c r="O133" s="134"/>
      <c r="P133" s="139"/>
      <c r="Q133" s="134"/>
      <c r="R133" s="136"/>
      <c r="S133" s="134"/>
      <c r="T133" s="139"/>
      <c r="U133" s="134"/>
      <c r="V133" s="136"/>
      <c r="W133" s="134"/>
      <c r="X133" s="139"/>
      <c r="Y133" s="141"/>
      <c r="Z133" s="136"/>
      <c r="AA133" s="134"/>
      <c r="AB133" s="3"/>
      <c r="AC133" s="3"/>
    </row>
    <row r="134" spans="2:29" ht="30" customHeight="1" x14ac:dyDescent="0.3">
      <c r="B134" s="119"/>
      <c r="C134" s="151"/>
      <c r="D134" s="153"/>
      <c r="E134" s="11" t="s">
        <v>22</v>
      </c>
      <c r="F134" s="12">
        <f>$D$1*Rates!J26</f>
        <v>1500</v>
      </c>
      <c r="G134" s="142" t="s">
        <v>47</v>
      </c>
      <c r="H134" s="144"/>
      <c r="I134" s="134"/>
      <c r="J134" s="144">
        <v>0</v>
      </c>
      <c r="K134" s="134"/>
      <c r="L134" s="145">
        <v>0</v>
      </c>
      <c r="M134" s="134"/>
      <c r="N134" s="144">
        <v>0</v>
      </c>
      <c r="O134" s="134"/>
      <c r="P134" s="145">
        <v>0</v>
      </c>
      <c r="Q134" s="134"/>
      <c r="R134" s="144">
        <v>0</v>
      </c>
      <c r="S134" s="134"/>
      <c r="T134" s="145">
        <v>0</v>
      </c>
      <c r="U134" s="134"/>
      <c r="V134" s="144">
        <v>0</v>
      </c>
      <c r="W134" s="134"/>
      <c r="X134" s="145">
        <v>0</v>
      </c>
      <c r="Y134" s="141"/>
      <c r="Z134" s="144">
        <v>0</v>
      </c>
      <c r="AA134" s="134"/>
      <c r="AB134" s="3"/>
      <c r="AC134" s="3"/>
    </row>
    <row r="135" spans="2:29" ht="30" customHeight="1" x14ac:dyDescent="0.3">
      <c r="B135" s="119"/>
      <c r="C135" s="151"/>
      <c r="D135" s="153"/>
      <c r="E135" s="146" t="s">
        <v>24</v>
      </c>
      <c r="F135" s="148">
        <f>$D$1*Rates!K26</f>
        <v>1800</v>
      </c>
      <c r="G135" s="142"/>
      <c r="H135" s="135"/>
      <c r="I135" s="134"/>
      <c r="J135" s="135"/>
      <c r="K135" s="134"/>
      <c r="L135" s="138"/>
      <c r="M135" s="134"/>
      <c r="N135" s="135"/>
      <c r="O135" s="134"/>
      <c r="P135" s="138"/>
      <c r="Q135" s="134"/>
      <c r="R135" s="135"/>
      <c r="S135" s="134"/>
      <c r="T135" s="138"/>
      <c r="U135" s="134"/>
      <c r="V135" s="135"/>
      <c r="W135" s="134"/>
      <c r="X135" s="138"/>
      <c r="Y135" s="141"/>
      <c r="Z135" s="135"/>
      <c r="AA135" s="134"/>
      <c r="AB135" s="3"/>
      <c r="AC135" s="3"/>
    </row>
    <row r="136" spans="2:29" ht="30" customHeight="1" thickBot="1" x14ac:dyDescent="0.35">
      <c r="B136" s="120"/>
      <c r="C136" s="151"/>
      <c r="D136" s="153"/>
      <c r="E136" s="147"/>
      <c r="F136" s="149">
        <f>$D$1*[1]Rates!J128</f>
        <v>0</v>
      </c>
      <c r="G136" s="143"/>
      <c r="H136" s="135"/>
      <c r="I136" s="134"/>
      <c r="J136" s="135"/>
      <c r="K136" s="134"/>
      <c r="L136" s="138"/>
      <c r="M136" s="134"/>
      <c r="N136" s="135"/>
      <c r="O136" s="134"/>
      <c r="P136" s="138"/>
      <c r="Q136" s="134"/>
      <c r="R136" s="135"/>
      <c r="S136" s="134"/>
      <c r="T136" s="138"/>
      <c r="U136" s="134"/>
      <c r="V136" s="135"/>
      <c r="W136" s="134"/>
      <c r="X136" s="138"/>
      <c r="Y136" s="141"/>
      <c r="Z136" s="135"/>
      <c r="AA136" s="134"/>
      <c r="AB136" s="3"/>
      <c r="AC136" s="3"/>
    </row>
    <row r="137" spans="2:29" ht="30" customHeight="1" x14ac:dyDescent="0.3">
      <c r="B137" s="118" t="s">
        <v>48</v>
      </c>
      <c r="C137" s="150" t="s">
        <v>102</v>
      </c>
      <c r="D137" s="152" t="s">
        <v>182</v>
      </c>
      <c r="E137" s="9" t="s">
        <v>18</v>
      </c>
      <c r="F137" s="10">
        <v>3</v>
      </c>
      <c r="G137" s="190" t="s">
        <v>237</v>
      </c>
      <c r="H137" s="112"/>
      <c r="I137" s="133">
        <f>1.027*((H137*$F137*$F138)+(H137*0.2*$F139)+(H137*0.1*$F140)+(H140*$F141))</f>
        <v>0</v>
      </c>
      <c r="J137" s="112">
        <v>0</v>
      </c>
      <c r="K137" s="133">
        <f>1.056*((J137*$F137*$F138)+(J137*0.2*$F139)+(J137*0.1*$F140)+(J140*$F141))</f>
        <v>0</v>
      </c>
      <c r="L137" s="137">
        <v>0</v>
      </c>
      <c r="M137" s="133">
        <f>1.083*((L137*$F137*$F138)+(L137*0.2*$F139)+(L137*0.1*$F140)+(L140*$F141))</f>
        <v>0</v>
      </c>
      <c r="N137" s="112">
        <v>0</v>
      </c>
      <c r="O137" s="133">
        <f>1.11*((N137*$F137*$F138)+(N137*0.2*$F139)+(N137*0.1*$F140)+(N140*$F141))</f>
        <v>0</v>
      </c>
      <c r="P137" s="137">
        <v>0</v>
      </c>
      <c r="Q137" s="133">
        <f>1.14*((P137*$F137*$F138)+(P137*0.2*$F139)+(P137*0.1*$F140)+(P140*$F141))</f>
        <v>0</v>
      </c>
      <c r="R137" s="112">
        <v>0</v>
      </c>
      <c r="S137" s="133">
        <f>1.172*((R137*$F137*$F138)+(R137*0.2*$F139)+(R137*0.1*$F140)+(R140*$F141))</f>
        <v>0</v>
      </c>
      <c r="T137" s="137">
        <v>0</v>
      </c>
      <c r="U137" s="133">
        <f>1.206*((T137*$F137*$F138)+(T137*0.2*$F139)+(T137*0.1*$F140)+(T140*$F141))</f>
        <v>0</v>
      </c>
      <c r="V137" s="112">
        <v>0</v>
      </c>
      <c r="W137" s="133">
        <f>1.242*((V137*$F137*$F138)+(V137*0.2*$F139)+(V137*0.1*$F140)+(V140*$F141))</f>
        <v>0</v>
      </c>
      <c r="X137" s="137">
        <v>0</v>
      </c>
      <c r="Y137" s="140">
        <f>(X137*$F137*$F138)+(X137*0.2*$F139)+(X137*0.1*$F140)+(X140*$F141)</f>
        <v>0</v>
      </c>
      <c r="Z137" s="112">
        <v>0</v>
      </c>
      <c r="AA137" s="133">
        <f>(Z137*$F137*$F138)+(Z137*0.2*$F139)+(Z137*0.1*$F140)+(Z140*$F141)</f>
        <v>0</v>
      </c>
      <c r="AB137" s="3"/>
      <c r="AC137" s="3"/>
    </row>
    <row r="138" spans="2:29" ht="30" customHeight="1" x14ac:dyDescent="0.3">
      <c r="B138" s="119"/>
      <c r="C138" s="151"/>
      <c r="D138" s="153"/>
      <c r="E138" s="11" t="s">
        <v>20</v>
      </c>
      <c r="F138" s="12">
        <f>$D$1*Rates!H27</f>
        <v>279.95625000000001</v>
      </c>
      <c r="G138" s="191"/>
      <c r="H138" s="135"/>
      <c r="I138" s="134"/>
      <c r="J138" s="135"/>
      <c r="K138" s="134"/>
      <c r="L138" s="138"/>
      <c r="M138" s="134"/>
      <c r="N138" s="135"/>
      <c r="O138" s="134"/>
      <c r="P138" s="138"/>
      <c r="Q138" s="134"/>
      <c r="R138" s="135"/>
      <c r="S138" s="134"/>
      <c r="T138" s="138"/>
      <c r="U138" s="134"/>
      <c r="V138" s="135"/>
      <c r="W138" s="134"/>
      <c r="X138" s="138"/>
      <c r="Y138" s="141"/>
      <c r="Z138" s="135"/>
      <c r="AA138" s="134"/>
      <c r="AB138" s="3"/>
      <c r="AC138" s="3"/>
    </row>
    <row r="139" spans="2:29" ht="30" customHeight="1" x14ac:dyDescent="0.3">
      <c r="B139" s="119"/>
      <c r="C139" s="151"/>
      <c r="D139" s="153"/>
      <c r="E139" s="11" t="s">
        <v>21</v>
      </c>
      <c r="F139" s="12">
        <f>$D$1*Rates!I27</f>
        <v>543.74625000000003</v>
      </c>
      <c r="G139" s="192"/>
      <c r="H139" s="136"/>
      <c r="I139" s="134"/>
      <c r="J139" s="136"/>
      <c r="K139" s="134"/>
      <c r="L139" s="139"/>
      <c r="M139" s="134"/>
      <c r="N139" s="136"/>
      <c r="O139" s="134"/>
      <c r="P139" s="139"/>
      <c r="Q139" s="134"/>
      <c r="R139" s="136"/>
      <c r="S139" s="134"/>
      <c r="T139" s="139"/>
      <c r="U139" s="134"/>
      <c r="V139" s="136"/>
      <c r="W139" s="134"/>
      <c r="X139" s="139"/>
      <c r="Y139" s="141"/>
      <c r="Z139" s="136"/>
      <c r="AA139" s="134"/>
      <c r="AB139" s="3"/>
      <c r="AC139" s="3"/>
    </row>
    <row r="140" spans="2:29" ht="30" customHeight="1" x14ac:dyDescent="0.3">
      <c r="B140" s="119"/>
      <c r="C140" s="151"/>
      <c r="D140" s="153"/>
      <c r="E140" s="11" t="s">
        <v>22</v>
      </c>
      <c r="F140" s="12">
        <f>$D$1*Rates!J27</f>
        <v>1598.6992500000001</v>
      </c>
      <c r="G140" s="142" t="s">
        <v>49</v>
      </c>
      <c r="H140" s="144"/>
      <c r="I140" s="134"/>
      <c r="J140" s="144">
        <v>0</v>
      </c>
      <c r="K140" s="134"/>
      <c r="L140" s="145">
        <v>0</v>
      </c>
      <c r="M140" s="134"/>
      <c r="N140" s="144">
        <v>0</v>
      </c>
      <c r="O140" s="134"/>
      <c r="P140" s="145">
        <v>0</v>
      </c>
      <c r="Q140" s="134"/>
      <c r="R140" s="144">
        <v>0</v>
      </c>
      <c r="S140" s="134"/>
      <c r="T140" s="145">
        <v>0</v>
      </c>
      <c r="U140" s="134"/>
      <c r="V140" s="144">
        <v>0</v>
      </c>
      <c r="W140" s="134"/>
      <c r="X140" s="145">
        <v>0</v>
      </c>
      <c r="Y140" s="141"/>
      <c r="Z140" s="144">
        <v>0</v>
      </c>
      <c r="AA140" s="134"/>
      <c r="AB140" s="3"/>
      <c r="AC140" s="3"/>
    </row>
    <row r="141" spans="2:29" ht="30" customHeight="1" x14ac:dyDescent="0.3">
      <c r="B141" s="119"/>
      <c r="C141" s="151"/>
      <c r="D141" s="153"/>
      <c r="E141" s="146" t="s">
        <v>24</v>
      </c>
      <c r="F141" s="148">
        <f>$D$1*Rates!K27</f>
        <v>1588.6207979999999</v>
      </c>
      <c r="G141" s="142"/>
      <c r="H141" s="135"/>
      <c r="I141" s="134"/>
      <c r="J141" s="135"/>
      <c r="K141" s="134"/>
      <c r="L141" s="138"/>
      <c r="M141" s="134"/>
      <c r="N141" s="135"/>
      <c r="O141" s="134"/>
      <c r="P141" s="138"/>
      <c r="Q141" s="134"/>
      <c r="R141" s="135"/>
      <c r="S141" s="134"/>
      <c r="T141" s="138"/>
      <c r="U141" s="134"/>
      <c r="V141" s="135"/>
      <c r="W141" s="134"/>
      <c r="X141" s="138"/>
      <c r="Y141" s="141"/>
      <c r="Z141" s="135"/>
      <c r="AA141" s="134"/>
      <c r="AB141" s="3"/>
      <c r="AC141" s="3"/>
    </row>
    <row r="142" spans="2:29" ht="30" customHeight="1" thickBot="1" x14ac:dyDescent="0.35">
      <c r="B142" s="119"/>
      <c r="C142" s="151"/>
      <c r="D142" s="153"/>
      <c r="E142" s="147"/>
      <c r="F142" s="149">
        <f>$D$1*[1]Rates!J134</f>
        <v>0</v>
      </c>
      <c r="G142" s="143"/>
      <c r="H142" s="135"/>
      <c r="I142" s="134"/>
      <c r="J142" s="135"/>
      <c r="K142" s="134"/>
      <c r="L142" s="138"/>
      <c r="M142" s="134"/>
      <c r="N142" s="135"/>
      <c r="O142" s="134"/>
      <c r="P142" s="138"/>
      <c r="Q142" s="134"/>
      <c r="R142" s="135"/>
      <c r="S142" s="134"/>
      <c r="T142" s="138"/>
      <c r="U142" s="134"/>
      <c r="V142" s="135"/>
      <c r="W142" s="134"/>
      <c r="X142" s="138"/>
      <c r="Y142" s="141"/>
      <c r="Z142" s="135"/>
      <c r="AA142" s="134"/>
      <c r="AB142" s="3"/>
      <c r="AC142" s="3"/>
    </row>
    <row r="143" spans="2:29" ht="30" customHeight="1" x14ac:dyDescent="0.3">
      <c r="B143" s="119"/>
      <c r="C143" s="150" t="s">
        <v>91</v>
      </c>
      <c r="D143" s="152" t="s">
        <v>183</v>
      </c>
      <c r="E143" s="9" t="s">
        <v>18</v>
      </c>
      <c r="F143" s="10">
        <v>3</v>
      </c>
      <c r="G143" s="190" t="s">
        <v>238</v>
      </c>
      <c r="H143" s="112"/>
      <c r="I143" s="133">
        <f>1.027*((H143*$F143*$F144)+(H143*0.2*$F145)+(H143*0.1*$F146)+(H146*$F147))</f>
        <v>0</v>
      </c>
      <c r="J143" s="112">
        <v>0</v>
      </c>
      <c r="K143" s="133">
        <f>1.056*((J143*$F143*$F144)+(J143*0.2*$F145)+(J143*0.1*$F146)+(J146*$F147))</f>
        <v>0</v>
      </c>
      <c r="L143" s="137">
        <v>0</v>
      </c>
      <c r="M143" s="133">
        <f>1.083*((L143*$F143*$F144)+(L143*0.2*$F145)+(L143*0.1*$F146)+(L146*$F147))</f>
        <v>0</v>
      </c>
      <c r="N143" s="112">
        <v>0</v>
      </c>
      <c r="O143" s="133">
        <f>1.11*((N143*$F143*$F144)+(N143*0.2*$F145)+(N143*0.1*$F146)+(N146*$F147))</f>
        <v>0</v>
      </c>
      <c r="P143" s="137">
        <v>0</v>
      </c>
      <c r="Q143" s="133">
        <f>1.14*((P143*$F143*$F144)+(P143*0.2*$F145)+(P143*0.1*$F146)+(P146*$F147))</f>
        <v>0</v>
      </c>
      <c r="R143" s="112">
        <v>0</v>
      </c>
      <c r="S143" s="133">
        <f>1.172*((R143*$F143*$F144)+(R143*0.2*$F145)+(R143*0.1*$F146)+(R146*$F147))</f>
        <v>0</v>
      </c>
      <c r="T143" s="137">
        <v>0</v>
      </c>
      <c r="U143" s="133">
        <f>1.206*((T143*$F143*$F144)+(T143*0.2*$F145)+(T143*0.1*$F146)+(T146*$F147))</f>
        <v>0</v>
      </c>
      <c r="V143" s="112">
        <v>0</v>
      </c>
      <c r="W143" s="133">
        <f>1.242*((V143*$F143*$F144)+(V143*0.2*$F145)+(V143*0.1*$F146)+(V146*$F147))</f>
        <v>0</v>
      </c>
      <c r="X143" s="137">
        <v>0</v>
      </c>
      <c r="Y143" s="140">
        <f>(X143*$F143*$F144)+(X143*0.2*$F145)+(X143*0.1*$F146)+(X146*$F147)</f>
        <v>0</v>
      </c>
      <c r="Z143" s="112">
        <v>0</v>
      </c>
      <c r="AA143" s="133">
        <f>(Z143*$F143*$F144)+(Z143*0.2*$F145)+(Z143*0.1*$F146)+(Z146*$F147)</f>
        <v>0</v>
      </c>
      <c r="AB143" s="3"/>
      <c r="AC143" s="3"/>
    </row>
    <row r="144" spans="2:29" ht="30" customHeight="1" x14ac:dyDescent="0.3">
      <c r="B144" s="119"/>
      <c r="C144" s="151"/>
      <c r="D144" s="153"/>
      <c r="E144" s="11" t="s">
        <v>20</v>
      </c>
      <c r="F144" s="12">
        <f>$D$1*Rates!H28</f>
        <v>400</v>
      </c>
      <c r="G144" s="191"/>
      <c r="H144" s="135"/>
      <c r="I144" s="134"/>
      <c r="J144" s="135"/>
      <c r="K144" s="134"/>
      <c r="L144" s="138"/>
      <c r="M144" s="134"/>
      <c r="N144" s="135"/>
      <c r="O144" s="134"/>
      <c r="P144" s="138"/>
      <c r="Q144" s="134"/>
      <c r="R144" s="135"/>
      <c r="S144" s="134"/>
      <c r="T144" s="138"/>
      <c r="U144" s="134"/>
      <c r="V144" s="135"/>
      <c r="W144" s="134"/>
      <c r="X144" s="138"/>
      <c r="Y144" s="141"/>
      <c r="Z144" s="135"/>
      <c r="AA144" s="134"/>
      <c r="AB144" s="3"/>
      <c r="AC144" s="3"/>
    </row>
    <row r="145" spans="2:29" ht="30" customHeight="1" x14ac:dyDescent="0.3">
      <c r="B145" s="119"/>
      <c r="C145" s="151"/>
      <c r="D145" s="153"/>
      <c r="E145" s="11" t="s">
        <v>21</v>
      </c>
      <c r="F145" s="12">
        <f>$D$1*Rates!I28</f>
        <v>750</v>
      </c>
      <c r="G145" s="192"/>
      <c r="H145" s="136"/>
      <c r="I145" s="134"/>
      <c r="J145" s="136"/>
      <c r="K145" s="134"/>
      <c r="L145" s="139"/>
      <c r="M145" s="134"/>
      <c r="N145" s="136"/>
      <c r="O145" s="134"/>
      <c r="P145" s="139"/>
      <c r="Q145" s="134"/>
      <c r="R145" s="136"/>
      <c r="S145" s="134"/>
      <c r="T145" s="139"/>
      <c r="U145" s="134"/>
      <c r="V145" s="136"/>
      <c r="W145" s="134"/>
      <c r="X145" s="139"/>
      <c r="Y145" s="141"/>
      <c r="Z145" s="136"/>
      <c r="AA145" s="134"/>
      <c r="AB145" s="3"/>
      <c r="AC145" s="3"/>
    </row>
    <row r="146" spans="2:29" ht="30" customHeight="1" x14ac:dyDescent="0.3">
      <c r="B146" s="119"/>
      <c r="C146" s="151"/>
      <c r="D146" s="153"/>
      <c r="E146" s="11" t="s">
        <v>22</v>
      </c>
      <c r="F146" s="12">
        <f>$D$1*Rates!J28</f>
        <v>1599</v>
      </c>
      <c r="G146" s="142" t="s">
        <v>49</v>
      </c>
      <c r="H146" s="144"/>
      <c r="I146" s="134"/>
      <c r="J146" s="144">
        <v>0</v>
      </c>
      <c r="K146" s="134"/>
      <c r="L146" s="145">
        <v>0</v>
      </c>
      <c r="M146" s="134"/>
      <c r="N146" s="144">
        <v>0</v>
      </c>
      <c r="O146" s="134"/>
      <c r="P146" s="145">
        <v>0</v>
      </c>
      <c r="Q146" s="134"/>
      <c r="R146" s="144">
        <v>0</v>
      </c>
      <c r="S146" s="134"/>
      <c r="T146" s="145">
        <v>0</v>
      </c>
      <c r="U146" s="134"/>
      <c r="V146" s="144">
        <v>0</v>
      </c>
      <c r="W146" s="134"/>
      <c r="X146" s="145">
        <v>0</v>
      </c>
      <c r="Y146" s="141"/>
      <c r="Z146" s="144">
        <v>0</v>
      </c>
      <c r="AA146" s="134"/>
      <c r="AB146" s="3"/>
      <c r="AC146" s="3"/>
    </row>
    <row r="147" spans="2:29" ht="30" customHeight="1" x14ac:dyDescent="0.3">
      <c r="B147" s="119"/>
      <c r="C147" s="151"/>
      <c r="D147" s="153"/>
      <c r="E147" s="146" t="s">
        <v>24</v>
      </c>
      <c r="F147" s="148">
        <f>$D$1*Rates!K28</f>
        <v>1589</v>
      </c>
      <c r="G147" s="142"/>
      <c r="H147" s="135"/>
      <c r="I147" s="134"/>
      <c r="J147" s="135"/>
      <c r="K147" s="134"/>
      <c r="L147" s="138"/>
      <c r="M147" s="134"/>
      <c r="N147" s="135"/>
      <c r="O147" s="134"/>
      <c r="P147" s="138"/>
      <c r="Q147" s="134"/>
      <c r="R147" s="135"/>
      <c r="S147" s="134"/>
      <c r="T147" s="138"/>
      <c r="U147" s="134"/>
      <c r="V147" s="135"/>
      <c r="W147" s="134"/>
      <c r="X147" s="138"/>
      <c r="Y147" s="141"/>
      <c r="Z147" s="135"/>
      <c r="AA147" s="134"/>
      <c r="AB147" s="3"/>
      <c r="AC147" s="3"/>
    </row>
    <row r="148" spans="2:29" ht="30" customHeight="1" thickBot="1" x14ac:dyDescent="0.35">
      <c r="B148" s="120"/>
      <c r="C148" s="151"/>
      <c r="D148" s="153"/>
      <c r="E148" s="147"/>
      <c r="F148" s="149">
        <f>$D$1*[1]Rates!J140</f>
        <v>0</v>
      </c>
      <c r="G148" s="143"/>
      <c r="H148" s="135"/>
      <c r="I148" s="134"/>
      <c r="J148" s="135"/>
      <c r="K148" s="134"/>
      <c r="L148" s="138"/>
      <c r="M148" s="134"/>
      <c r="N148" s="135"/>
      <c r="O148" s="134"/>
      <c r="P148" s="138"/>
      <c r="Q148" s="134"/>
      <c r="R148" s="135"/>
      <c r="S148" s="134"/>
      <c r="T148" s="138"/>
      <c r="U148" s="134"/>
      <c r="V148" s="135"/>
      <c r="W148" s="134"/>
      <c r="X148" s="138"/>
      <c r="Y148" s="141"/>
      <c r="Z148" s="135"/>
      <c r="AA148" s="134"/>
      <c r="AB148" s="3"/>
      <c r="AC148" s="3"/>
    </row>
    <row r="149" spans="2:29" ht="30" customHeight="1" x14ac:dyDescent="0.3">
      <c r="B149" s="118" t="s">
        <v>50</v>
      </c>
      <c r="C149" s="150" t="s">
        <v>102</v>
      </c>
      <c r="D149" s="152" t="s">
        <v>184</v>
      </c>
      <c r="E149" s="9" t="s">
        <v>51</v>
      </c>
      <c r="F149" s="10">
        <v>3</v>
      </c>
      <c r="G149" s="186" t="s">
        <v>52</v>
      </c>
      <c r="H149" s="161"/>
      <c r="I149" s="159">
        <f>1.027*(($F149*$F150*H149)+(0.2*H149*$F151)+(0.1*$F152*H149))</f>
        <v>0</v>
      </c>
      <c r="J149" s="161">
        <v>0</v>
      </c>
      <c r="K149" s="159">
        <f>1.056*(($F149*$F150*J149)+(0.2*J149*$F151)+(0.1*$F152*J149))</f>
        <v>0</v>
      </c>
      <c r="L149" s="156">
        <v>0</v>
      </c>
      <c r="M149" s="159">
        <f>1.083*(($F149*$F150*L149)+(0.2*L149*$F151)+(0.1*$F152*L149))</f>
        <v>0</v>
      </c>
      <c r="N149" s="161">
        <v>0</v>
      </c>
      <c r="O149" s="159">
        <f>1.11*(($F149*$F150*N149)+(0.2*N149*$F151)+(0.1*$F152*N149))</f>
        <v>0</v>
      </c>
      <c r="P149" s="156">
        <v>0</v>
      </c>
      <c r="Q149" s="159">
        <f>1.14*(($F149*$F150*P149)+(0.2*P149*$F151)+(0.1*$F152*P149))</f>
        <v>0</v>
      </c>
      <c r="R149" s="161">
        <v>0</v>
      </c>
      <c r="S149" s="159">
        <f>1.172*(($F149*$F150*R149)+(0.2*R149*$F151)+(0.1*$F152*R149))</f>
        <v>0</v>
      </c>
      <c r="T149" s="156">
        <v>0</v>
      </c>
      <c r="U149" s="159">
        <f>1.206*(($F149*$F150*T149)+(0.2*T149*$F151)+(0.1*$F152*T149))</f>
        <v>0</v>
      </c>
      <c r="V149" s="161">
        <v>0</v>
      </c>
      <c r="W149" s="159">
        <f>1.242*(($F149*$F150*V149)+(0.2*V149*$F151)+(0.1*$F152*V149))</f>
        <v>0</v>
      </c>
      <c r="X149" s="156">
        <v>0</v>
      </c>
      <c r="Y149" s="175">
        <f>($F149*$F150*X149)+(0.2*X149*$F151)+(0.1*$F152*X149)</f>
        <v>0</v>
      </c>
      <c r="Z149" s="161">
        <v>0</v>
      </c>
      <c r="AA149" s="159">
        <f>($F149*$F150*Z149)+(0.2*Z149*$F151)+(0.1*$F152*Z149)</f>
        <v>0</v>
      </c>
      <c r="AB149" s="3"/>
      <c r="AC149" s="3"/>
    </row>
    <row r="150" spans="2:29" ht="30" customHeight="1" x14ac:dyDescent="0.3">
      <c r="B150" s="119"/>
      <c r="C150" s="151"/>
      <c r="D150" s="153"/>
      <c r="E150" s="11" t="s">
        <v>53</v>
      </c>
      <c r="F150" s="12">
        <f>$D$1*Rates!H29</f>
        <v>195.96937500000001</v>
      </c>
      <c r="G150" s="187"/>
      <c r="H150" s="162"/>
      <c r="I150" s="134"/>
      <c r="J150" s="162"/>
      <c r="K150" s="134"/>
      <c r="L150" s="157"/>
      <c r="M150" s="134"/>
      <c r="N150" s="162"/>
      <c r="O150" s="134"/>
      <c r="P150" s="157"/>
      <c r="Q150" s="134"/>
      <c r="R150" s="162"/>
      <c r="S150" s="134"/>
      <c r="T150" s="157"/>
      <c r="U150" s="134"/>
      <c r="V150" s="162"/>
      <c r="W150" s="134"/>
      <c r="X150" s="157"/>
      <c r="Y150" s="141"/>
      <c r="Z150" s="162"/>
      <c r="AA150" s="134"/>
      <c r="AB150" s="3"/>
      <c r="AC150" s="3"/>
    </row>
    <row r="151" spans="2:29" ht="30" customHeight="1" x14ac:dyDescent="0.3">
      <c r="B151" s="119"/>
      <c r="C151" s="151"/>
      <c r="D151" s="153"/>
      <c r="E151" s="11" t="s">
        <v>21</v>
      </c>
      <c r="F151" s="12">
        <f>$D$1*Rates!I29</f>
        <v>356.07037499999996</v>
      </c>
      <c r="G151" s="187"/>
      <c r="H151" s="162"/>
      <c r="I151" s="134"/>
      <c r="J151" s="162"/>
      <c r="K151" s="134"/>
      <c r="L151" s="157"/>
      <c r="M151" s="134"/>
      <c r="N151" s="162"/>
      <c r="O151" s="134"/>
      <c r="P151" s="157"/>
      <c r="Q151" s="134"/>
      <c r="R151" s="162"/>
      <c r="S151" s="134"/>
      <c r="T151" s="157"/>
      <c r="U151" s="134"/>
      <c r="V151" s="162"/>
      <c r="W151" s="134"/>
      <c r="X151" s="157"/>
      <c r="Y151" s="141"/>
      <c r="Z151" s="162"/>
      <c r="AA151" s="134"/>
      <c r="AB151" s="3"/>
      <c r="AC151" s="3"/>
    </row>
    <row r="152" spans="2:29" ht="30" customHeight="1" thickBot="1" x14ac:dyDescent="0.35">
      <c r="B152" s="120"/>
      <c r="C152" s="174"/>
      <c r="D152" s="173"/>
      <c r="E152" s="16" t="s">
        <v>22</v>
      </c>
      <c r="F152" s="12">
        <f>$D$1*Rates!J29</f>
        <v>603.57037500000001</v>
      </c>
      <c r="G152" s="188"/>
      <c r="H152" s="163"/>
      <c r="I152" s="160"/>
      <c r="J152" s="163"/>
      <c r="K152" s="160"/>
      <c r="L152" s="158"/>
      <c r="M152" s="160"/>
      <c r="N152" s="163"/>
      <c r="O152" s="160"/>
      <c r="P152" s="158"/>
      <c r="Q152" s="160"/>
      <c r="R152" s="163"/>
      <c r="S152" s="160"/>
      <c r="T152" s="158"/>
      <c r="U152" s="160"/>
      <c r="V152" s="163"/>
      <c r="W152" s="160"/>
      <c r="X152" s="158"/>
      <c r="Y152" s="176"/>
      <c r="Z152" s="163"/>
      <c r="AA152" s="160"/>
      <c r="AB152" s="3"/>
      <c r="AC152" s="3"/>
    </row>
    <row r="153" spans="2:29" ht="30" customHeight="1" x14ac:dyDescent="0.3">
      <c r="B153" s="118" t="s">
        <v>54</v>
      </c>
      <c r="C153" s="150" t="s">
        <v>102</v>
      </c>
      <c r="D153" s="152" t="s">
        <v>185</v>
      </c>
      <c r="E153" s="9" t="s">
        <v>18</v>
      </c>
      <c r="F153" s="10">
        <v>3</v>
      </c>
      <c r="G153" s="190" t="s">
        <v>239</v>
      </c>
      <c r="H153" s="112"/>
      <c r="I153" s="133">
        <f>1.027*((H153*$F153*$F154)+(H153*0.2*$F155)+(H153*0.1*$F156)+(H156*$F157))</f>
        <v>0</v>
      </c>
      <c r="J153" s="112">
        <v>0</v>
      </c>
      <c r="K153" s="133">
        <f>1.056*((J153*$F153*$F154)+(J153*0.2*$F155)+(J153*0.1*$F156)+(J156*$F157))</f>
        <v>0</v>
      </c>
      <c r="L153" s="137">
        <v>0</v>
      </c>
      <c r="M153" s="133">
        <f>1.083*((L153*$F153*$F154)+(L153*0.2*$F155)+(L153*0.1*$F156)+(L156*$F157))</f>
        <v>0</v>
      </c>
      <c r="N153" s="112">
        <v>0</v>
      </c>
      <c r="O153" s="133">
        <f>1.11*((N153*$F153*$F154)+(N153*0.2*$F155)+(N153*0.1*$F156)+(N156*$F157))</f>
        <v>0</v>
      </c>
      <c r="P153" s="137">
        <v>0</v>
      </c>
      <c r="Q153" s="133">
        <f>1.14*((P153*$F153*$F154)+(P153*0.2*$F155)+(P153*0.1*$F156)+(P156*$F157))</f>
        <v>0</v>
      </c>
      <c r="R153" s="112">
        <v>0</v>
      </c>
      <c r="S153" s="133">
        <f>1.172*((R153*$F153*$F154)+(R153*0.2*$F155)+(R153*0.1*$F156)+(R156*$F157))</f>
        <v>0</v>
      </c>
      <c r="T153" s="137">
        <v>0</v>
      </c>
      <c r="U153" s="133">
        <f>1.206*((T153*$F153*$F154)+(T153*0.2*$F155)+(T153*0.1*$F156)+(T156*$F157))</f>
        <v>0</v>
      </c>
      <c r="V153" s="112">
        <v>0</v>
      </c>
      <c r="W153" s="133">
        <f>1.242*((V153*$F153*$F154)+(V153*0.2*$F155)+(V153*0.1*$F156)+(V156*$F157))</f>
        <v>0</v>
      </c>
      <c r="X153" s="137">
        <v>0</v>
      </c>
      <c r="Y153" s="140">
        <f>(X153*$F153*$F154)+(X153*0.2*$F155)+(X153*0.1*$F156)+(X156*$F157)</f>
        <v>0</v>
      </c>
      <c r="Z153" s="112">
        <v>0</v>
      </c>
      <c r="AA153" s="133">
        <f>(Z153*$F153*$F154)+(Z153*0.2*$F155)+(Z153*0.1*$F156)+(Z156*$F157)</f>
        <v>0</v>
      </c>
      <c r="AB153" s="3"/>
      <c r="AC153" s="3"/>
    </row>
    <row r="154" spans="2:29" ht="30" customHeight="1" x14ac:dyDescent="0.3">
      <c r="B154" s="119"/>
      <c r="C154" s="151"/>
      <c r="D154" s="153"/>
      <c r="E154" s="11" t="s">
        <v>20</v>
      </c>
      <c r="F154" s="12">
        <f>$D$1*Rates!H30</f>
        <v>223.965</v>
      </c>
      <c r="G154" s="191"/>
      <c r="H154" s="135"/>
      <c r="I154" s="134"/>
      <c r="J154" s="135"/>
      <c r="K154" s="134"/>
      <c r="L154" s="138"/>
      <c r="M154" s="134"/>
      <c r="N154" s="135"/>
      <c r="O154" s="134"/>
      <c r="P154" s="138"/>
      <c r="Q154" s="134"/>
      <c r="R154" s="135"/>
      <c r="S154" s="134"/>
      <c r="T154" s="138"/>
      <c r="U154" s="134"/>
      <c r="V154" s="135"/>
      <c r="W154" s="134"/>
      <c r="X154" s="138"/>
      <c r="Y154" s="141"/>
      <c r="Z154" s="135"/>
      <c r="AA154" s="134"/>
      <c r="AB154" s="3"/>
      <c r="AC154" s="3"/>
    </row>
    <row r="155" spans="2:29" ht="30" customHeight="1" x14ac:dyDescent="0.3">
      <c r="B155" s="119"/>
      <c r="C155" s="151"/>
      <c r="D155" s="153"/>
      <c r="E155" s="11" t="s">
        <v>21</v>
      </c>
      <c r="F155" s="12">
        <f>$D$1*Rates!I30</f>
        <v>384.06600000000003</v>
      </c>
      <c r="G155" s="192"/>
      <c r="H155" s="136"/>
      <c r="I155" s="134"/>
      <c r="J155" s="136"/>
      <c r="K155" s="134"/>
      <c r="L155" s="139"/>
      <c r="M155" s="134"/>
      <c r="N155" s="136"/>
      <c r="O155" s="134"/>
      <c r="P155" s="139"/>
      <c r="Q155" s="134"/>
      <c r="R155" s="136"/>
      <c r="S155" s="134"/>
      <c r="T155" s="139"/>
      <c r="U155" s="134"/>
      <c r="V155" s="136"/>
      <c r="W155" s="134"/>
      <c r="X155" s="139"/>
      <c r="Y155" s="141"/>
      <c r="Z155" s="136"/>
      <c r="AA155" s="134"/>
      <c r="AB155" s="3"/>
      <c r="AC155" s="3"/>
    </row>
    <row r="156" spans="2:29" ht="30" customHeight="1" x14ac:dyDescent="0.3">
      <c r="B156" s="119"/>
      <c r="C156" s="151"/>
      <c r="D156" s="153"/>
      <c r="E156" s="11" t="s">
        <v>22</v>
      </c>
      <c r="F156" s="12">
        <f>$D$1*Rates!J30</f>
        <v>1081.566</v>
      </c>
      <c r="G156" s="142" t="s">
        <v>55</v>
      </c>
      <c r="H156" s="144"/>
      <c r="I156" s="134"/>
      <c r="J156" s="144">
        <v>0</v>
      </c>
      <c r="K156" s="134"/>
      <c r="L156" s="145">
        <v>0</v>
      </c>
      <c r="M156" s="134"/>
      <c r="N156" s="144">
        <v>0</v>
      </c>
      <c r="O156" s="134"/>
      <c r="P156" s="145">
        <v>0</v>
      </c>
      <c r="Q156" s="134"/>
      <c r="R156" s="144">
        <v>0</v>
      </c>
      <c r="S156" s="134"/>
      <c r="T156" s="145">
        <v>0</v>
      </c>
      <c r="U156" s="134"/>
      <c r="V156" s="144">
        <v>0</v>
      </c>
      <c r="W156" s="134"/>
      <c r="X156" s="145">
        <v>0</v>
      </c>
      <c r="Y156" s="141"/>
      <c r="Z156" s="144">
        <v>0</v>
      </c>
      <c r="AA156" s="134"/>
      <c r="AB156" s="3"/>
      <c r="AC156" s="3"/>
    </row>
    <row r="157" spans="2:29" ht="30" customHeight="1" x14ac:dyDescent="0.3">
      <c r="B157" s="119"/>
      <c r="C157" s="151"/>
      <c r="D157" s="153"/>
      <c r="E157" s="146" t="s">
        <v>24</v>
      </c>
      <c r="F157" s="148">
        <f>$D$1*Rates!K30</f>
        <v>1433.2122000000002</v>
      </c>
      <c r="G157" s="142"/>
      <c r="H157" s="135"/>
      <c r="I157" s="134"/>
      <c r="J157" s="135"/>
      <c r="K157" s="134"/>
      <c r="L157" s="138"/>
      <c r="M157" s="134"/>
      <c r="N157" s="135"/>
      <c r="O157" s="134"/>
      <c r="P157" s="138"/>
      <c r="Q157" s="134"/>
      <c r="R157" s="135"/>
      <c r="S157" s="134"/>
      <c r="T157" s="138"/>
      <c r="U157" s="134"/>
      <c r="V157" s="135"/>
      <c r="W157" s="134"/>
      <c r="X157" s="138"/>
      <c r="Y157" s="141"/>
      <c r="Z157" s="135"/>
      <c r="AA157" s="134"/>
      <c r="AB157" s="3"/>
      <c r="AC157" s="3"/>
    </row>
    <row r="158" spans="2:29" ht="30" customHeight="1" thickBot="1" x14ac:dyDescent="0.35">
      <c r="B158" s="119"/>
      <c r="C158" s="174"/>
      <c r="D158" s="173"/>
      <c r="E158" s="147"/>
      <c r="F158" s="149">
        <f>$D$1*[1]Rates!J150</f>
        <v>0</v>
      </c>
      <c r="G158" s="143"/>
      <c r="H158" s="113"/>
      <c r="I158" s="160"/>
      <c r="J158" s="113"/>
      <c r="K158" s="134"/>
      <c r="L158" s="189"/>
      <c r="M158" s="134"/>
      <c r="N158" s="113"/>
      <c r="O158" s="134"/>
      <c r="P158" s="189"/>
      <c r="Q158" s="134"/>
      <c r="R158" s="113"/>
      <c r="S158" s="134"/>
      <c r="T158" s="189"/>
      <c r="U158" s="134"/>
      <c r="V158" s="113"/>
      <c r="W158" s="134"/>
      <c r="X158" s="189"/>
      <c r="Y158" s="176"/>
      <c r="Z158" s="113"/>
      <c r="AA158" s="160"/>
      <c r="AB158" s="3"/>
      <c r="AC158" s="3"/>
    </row>
    <row r="159" spans="2:29" ht="30" customHeight="1" x14ac:dyDescent="0.3">
      <c r="B159" s="119"/>
      <c r="C159" s="150" t="s">
        <v>90</v>
      </c>
      <c r="D159" s="152" t="s">
        <v>185</v>
      </c>
      <c r="E159" s="9" t="s">
        <v>18</v>
      </c>
      <c r="F159" s="10">
        <v>3</v>
      </c>
      <c r="G159" s="190" t="s">
        <v>240</v>
      </c>
      <c r="H159" s="112"/>
      <c r="I159" s="133">
        <f>1.027*((H159*$F159*$F160)+(H159*0.2*$F161)+(H159*0.1*$F162)+(H162*$F163))</f>
        <v>0</v>
      </c>
      <c r="J159" s="112">
        <v>0</v>
      </c>
      <c r="K159" s="133">
        <f>1.056*((J159*$F159*$F160)+(J159*0.2*$F161)+(J159*0.1*$F162)+(J162*$F163))</f>
        <v>0</v>
      </c>
      <c r="L159" s="137">
        <v>0</v>
      </c>
      <c r="M159" s="133">
        <f>1.083*((L159*$F159*$F160)+(L159*0.2*$F161)+(L159*0.1*$F162)+(L162*$F163))</f>
        <v>0</v>
      </c>
      <c r="N159" s="112">
        <v>0</v>
      </c>
      <c r="O159" s="133">
        <f>1.11*((N159*$F159*$F160)+(N159*0.2*$F161)+(N159*0.1*$F162)+(N162*$F163))</f>
        <v>0</v>
      </c>
      <c r="P159" s="137">
        <v>0</v>
      </c>
      <c r="Q159" s="133">
        <f>1.14*((P159*$F159*$F160)+(P159*0.2*$F161)+(P159*0.1*$F162)+(P162*$F163))</f>
        <v>0</v>
      </c>
      <c r="R159" s="112">
        <v>0</v>
      </c>
      <c r="S159" s="133">
        <f>1.172*((R159*$F159*$F160)+(R159*0.2*$F161)+(R159*0.1*$F162)+(R162*$F163))</f>
        <v>0</v>
      </c>
      <c r="T159" s="137">
        <v>0</v>
      </c>
      <c r="U159" s="133">
        <f>1.206*((T159*$F159*$F160)+(T159*0.2*$F161)+(T159*0.1*$F162)+(T162*$F163))</f>
        <v>0</v>
      </c>
      <c r="V159" s="112">
        <v>0</v>
      </c>
      <c r="W159" s="133">
        <f>1.242*((V159*$F159*$F160)+(V159*0.2*$F161)+(V159*0.1*$F162)+(V162*$F163))</f>
        <v>0</v>
      </c>
      <c r="X159" s="137">
        <v>0</v>
      </c>
      <c r="Y159" s="140">
        <f>(X159*$F159*$F160)+(X159*0.2*$F161)+(X159*0.1*$F162)+(X162*$F163)</f>
        <v>0</v>
      </c>
      <c r="Z159" s="112">
        <v>0</v>
      </c>
      <c r="AA159" s="133">
        <f>(Z159*$F159*$F160)+(Z159*0.2*$F161)+(Z159*0.1*$F162)+(Z162*$F163)</f>
        <v>0</v>
      </c>
      <c r="AB159" s="3"/>
      <c r="AC159" s="3"/>
    </row>
    <row r="160" spans="2:29" ht="30" customHeight="1" x14ac:dyDescent="0.3">
      <c r="B160" s="119"/>
      <c r="C160" s="151"/>
      <c r="D160" s="153"/>
      <c r="E160" s="11" t="s">
        <v>20</v>
      </c>
      <c r="F160" s="12">
        <f>$D$1*Rates!H31</f>
        <v>223.965</v>
      </c>
      <c r="G160" s="191"/>
      <c r="H160" s="135"/>
      <c r="I160" s="134"/>
      <c r="J160" s="135"/>
      <c r="K160" s="134"/>
      <c r="L160" s="138"/>
      <c r="M160" s="134"/>
      <c r="N160" s="135"/>
      <c r="O160" s="134"/>
      <c r="P160" s="138"/>
      <c r="Q160" s="134"/>
      <c r="R160" s="135"/>
      <c r="S160" s="134"/>
      <c r="T160" s="138"/>
      <c r="U160" s="134"/>
      <c r="V160" s="135"/>
      <c r="W160" s="134"/>
      <c r="X160" s="138"/>
      <c r="Y160" s="141"/>
      <c r="Z160" s="135"/>
      <c r="AA160" s="134"/>
      <c r="AB160" s="3"/>
      <c r="AC160" s="3"/>
    </row>
    <row r="161" spans="2:29" ht="30" customHeight="1" x14ac:dyDescent="0.3">
      <c r="B161" s="119"/>
      <c r="C161" s="151"/>
      <c r="D161" s="153"/>
      <c r="E161" s="11" t="s">
        <v>21</v>
      </c>
      <c r="F161" s="12">
        <f>$D$1*Rates!I31</f>
        <v>384.06600000000003</v>
      </c>
      <c r="G161" s="192"/>
      <c r="H161" s="136"/>
      <c r="I161" s="134"/>
      <c r="J161" s="136"/>
      <c r="K161" s="134"/>
      <c r="L161" s="139"/>
      <c r="M161" s="134"/>
      <c r="N161" s="136"/>
      <c r="O161" s="134"/>
      <c r="P161" s="139"/>
      <c r="Q161" s="134"/>
      <c r="R161" s="136"/>
      <c r="S161" s="134"/>
      <c r="T161" s="139"/>
      <c r="U161" s="134"/>
      <c r="V161" s="136"/>
      <c r="W161" s="134"/>
      <c r="X161" s="139"/>
      <c r="Y161" s="141"/>
      <c r="Z161" s="136"/>
      <c r="AA161" s="134"/>
      <c r="AB161" s="3"/>
      <c r="AC161" s="3"/>
    </row>
    <row r="162" spans="2:29" ht="30" customHeight="1" x14ac:dyDescent="0.3">
      <c r="B162" s="119"/>
      <c r="C162" s="151"/>
      <c r="D162" s="153"/>
      <c r="E162" s="11" t="s">
        <v>22</v>
      </c>
      <c r="F162" s="12">
        <f>$D$1*Rates!J31</f>
        <v>1081.566</v>
      </c>
      <c r="G162" s="142" t="s">
        <v>55</v>
      </c>
      <c r="H162" s="144"/>
      <c r="I162" s="134"/>
      <c r="J162" s="144">
        <v>0</v>
      </c>
      <c r="K162" s="134"/>
      <c r="L162" s="145">
        <v>0</v>
      </c>
      <c r="M162" s="134"/>
      <c r="N162" s="144">
        <v>0</v>
      </c>
      <c r="O162" s="134"/>
      <c r="P162" s="145">
        <v>0</v>
      </c>
      <c r="Q162" s="134"/>
      <c r="R162" s="144">
        <v>0</v>
      </c>
      <c r="S162" s="134"/>
      <c r="T162" s="145">
        <v>0</v>
      </c>
      <c r="U162" s="134"/>
      <c r="V162" s="144">
        <v>0</v>
      </c>
      <c r="W162" s="134"/>
      <c r="X162" s="145">
        <v>0</v>
      </c>
      <c r="Y162" s="141"/>
      <c r="Z162" s="144">
        <v>0</v>
      </c>
      <c r="AA162" s="134"/>
      <c r="AB162" s="3"/>
      <c r="AC162" s="3"/>
    </row>
    <row r="163" spans="2:29" ht="30" customHeight="1" x14ac:dyDescent="0.3">
      <c r="B163" s="119"/>
      <c r="C163" s="151"/>
      <c r="D163" s="153"/>
      <c r="E163" s="146" t="s">
        <v>24</v>
      </c>
      <c r="F163" s="148">
        <f>$D$1*Rates!K31</f>
        <v>1433.2122000000002</v>
      </c>
      <c r="G163" s="142"/>
      <c r="H163" s="135"/>
      <c r="I163" s="134"/>
      <c r="J163" s="135"/>
      <c r="K163" s="134"/>
      <c r="L163" s="138"/>
      <c r="M163" s="134"/>
      <c r="N163" s="135"/>
      <c r="O163" s="134"/>
      <c r="P163" s="138"/>
      <c r="Q163" s="134"/>
      <c r="R163" s="135"/>
      <c r="S163" s="134"/>
      <c r="T163" s="138"/>
      <c r="U163" s="134"/>
      <c r="V163" s="135"/>
      <c r="W163" s="134"/>
      <c r="X163" s="138"/>
      <c r="Y163" s="141"/>
      <c r="Z163" s="135"/>
      <c r="AA163" s="134"/>
      <c r="AB163" s="3"/>
      <c r="AC163" s="3"/>
    </row>
    <row r="164" spans="2:29" ht="30" customHeight="1" thickBot="1" x14ac:dyDescent="0.35">
      <c r="B164" s="120"/>
      <c r="C164" s="174"/>
      <c r="D164" s="173"/>
      <c r="E164" s="147"/>
      <c r="F164" s="149">
        <f>$D$1*[1]Rates!J156</f>
        <v>0</v>
      </c>
      <c r="G164" s="143"/>
      <c r="H164" s="113"/>
      <c r="I164" s="160"/>
      <c r="J164" s="113"/>
      <c r="K164" s="134"/>
      <c r="L164" s="189"/>
      <c r="M164" s="134"/>
      <c r="N164" s="113"/>
      <c r="O164" s="134"/>
      <c r="P164" s="189"/>
      <c r="Q164" s="134"/>
      <c r="R164" s="113"/>
      <c r="S164" s="134"/>
      <c r="T164" s="189"/>
      <c r="U164" s="134"/>
      <c r="V164" s="113"/>
      <c r="W164" s="134"/>
      <c r="X164" s="189"/>
      <c r="Y164" s="176"/>
      <c r="Z164" s="113"/>
      <c r="AA164" s="160"/>
      <c r="AB164" s="3"/>
      <c r="AC164" s="3"/>
    </row>
    <row r="165" spans="2:29" ht="30" customHeight="1" x14ac:dyDescent="0.3">
      <c r="B165" s="118" t="s">
        <v>101</v>
      </c>
      <c r="C165" s="150" t="s">
        <v>102</v>
      </c>
      <c r="D165" s="152" t="s">
        <v>186</v>
      </c>
      <c r="E165" s="9" t="s">
        <v>18</v>
      </c>
      <c r="F165" s="10">
        <v>3</v>
      </c>
      <c r="G165" s="154" t="s">
        <v>241</v>
      </c>
      <c r="H165" s="112"/>
      <c r="I165" s="133">
        <f>1.027*((H165*$F165*$F166)+(H165*0.2*$F167)+(H165*0.1*$F168)+(H168*$F169))</f>
        <v>0</v>
      </c>
      <c r="J165" s="112">
        <v>0</v>
      </c>
      <c r="K165" s="133">
        <f>1.056*((J165*$F165*$F166)+(J165*0.2*$F167)+(J165*0.1*$F168)+(J168*$F169))</f>
        <v>0</v>
      </c>
      <c r="L165" s="137">
        <v>0</v>
      </c>
      <c r="M165" s="133">
        <f>1.083*((L165*$F165*$F166)+(L165*0.2*$F167)+(L165*0.1*$F168)+(L168*$F169))</f>
        <v>0</v>
      </c>
      <c r="N165" s="112">
        <v>0</v>
      </c>
      <c r="O165" s="133">
        <f>1.11*((N165*$F165*$F166)+(N165*0.2*$F167)+(N165*0.1*$F168)+(N168*$F169))</f>
        <v>0</v>
      </c>
      <c r="P165" s="137">
        <v>0</v>
      </c>
      <c r="Q165" s="133">
        <f>1.14*((P165*$F165*$F166)+(P165*0.2*$F167)+(P165*0.1*$F168)+(P168*$F169))</f>
        <v>0</v>
      </c>
      <c r="R165" s="112">
        <v>0</v>
      </c>
      <c r="S165" s="133">
        <f>1.172*((R165*$F165*$F166)+(R165*0.2*$F167)+(R165*0.1*$F168)+(R168*$F169))</f>
        <v>0</v>
      </c>
      <c r="T165" s="137">
        <v>0</v>
      </c>
      <c r="U165" s="133">
        <f>1.206*((T165*$F165*$F166)+(T165*0.2*$F167)+(T165*0.1*$F168)+(T168*$F169))</f>
        <v>0</v>
      </c>
      <c r="V165" s="112">
        <v>0</v>
      </c>
      <c r="W165" s="133">
        <f>1.242*((V165*$F165*$F166)+(V165*0.2*$F167)+(V165*0.1*$F168)+(V168*$F169))</f>
        <v>0</v>
      </c>
      <c r="X165" s="137">
        <v>0</v>
      </c>
      <c r="Y165" s="140">
        <f>(X165*$F165*$F166)+(X165*0.2*$F167)+(X165*0.1*$F168)+(X168*$F169)</f>
        <v>0</v>
      </c>
      <c r="Z165" s="112">
        <v>0</v>
      </c>
      <c r="AA165" s="133">
        <f>(Z165*$F165*$F166)+(Z165*0.2*$F167)+(Z165*0.1*$F168)+(Z168*$F169)</f>
        <v>0</v>
      </c>
      <c r="AB165" s="3"/>
      <c r="AC165" s="3"/>
    </row>
    <row r="166" spans="2:29" ht="30" customHeight="1" x14ac:dyDescent="0.3">
      <c r="B166" s="119"/>
      <c r="C166" s="151"/>
      <c r="D166" s="153"/>
      <c r="E166" s="11" t="s">
        <v>20</v>
      </c>
      <c r="F166" s="12">
        <f>$D$1*Rates!H32</f>
        <v>139.97812500000001</v>
      </c>
      <c r="G166" s="142"/>
      <c r="H166" s="135"/>
      <c r="I166" s="134"/>
      <c r="J166" s="135"/>
      <c r="K166" s="134"/>
      <c r="L166" s="138"/>
      <c r="M166" s="134"/>
      <c r="N166" s="135"/>
      <c r="O166" s="134"/>
      <c r="P166" s="138"/>
      <c r="Q166" s="134"/>
      <c r="R166" s="135"/>
      <c r="S166" s="134"/>
      <c r="T166" s="138"/>
      <c r="U166" s="134"/>
      <c r="V166" s="135"/>
      <c r="W166" s="134"/>
      <c r="X166" s="138"/>
      <c r="Y166" s="141"/>
      <c r="Z166" s="135"/>
      <c r="AA166" s="134"/>
      <c r="AB166" s="3"/>
      <c r="AC166" s="3"/>
    </row>
    <row r="167" spans="2:29" ht="30" customHeight="1" x14ac:dyDescent="0.3">
      <c r="B167" s="119"/>
      <c r="C167" s="151"/>
      <c r="D167" s="153"/>
      <c r="E167" s="11" t="s">
        <v>21</v>
      </c>
      <c r="F167" s="12">
        <f>$D$1*Rates!I32</f>
        <v>300.07912499999998</v>
      </c>
      <c r="G167" s="155"/>
      <c r="H167" s="136"/>
      <c r="I167" s="134"/>
      <c r="J167" s="136"/>
      <c r="K167" s="134"/>
      <c r="L167" s="139"/>
      <c r="M167" s="134"/>
      <c r="N167" s="136"/>
      <c r="O167" s="134"/>
      <c r="P167" s="139"/>
      <c r="Q167" s="134"/>
      <c r="R167" s="136"/>
      <c r="S167" s="134"/>
      <c r="T167" s="139"/>
      <c r="U167" s="134"/>
      <c r="V167" s="136"/>
      <c r="W167" s="134"/>
      <c r="X167" s="139"/>
      <c r="Y167" s="141"/>
      <c r="Z167" s="136"/>
      <c r="AA167" s="134"/>
      <c r="AB167" s="3"/>
      <c r="AC167" s="3"/>
    </row>
    <row r="168" spans="2:29" ht="30" customHeight="1" x14ac:dyDescent="0.3">
      <c r="B168" s="119"/>
      <c r="C168" s="151"/>
      <c r="D168" s="153"/>
      <c r="E168" s="11" t="s">
        <v>22</v>
      </c>
      <c r="F168" s="12">
        <f>$D$1*Rates!J32</f>
        <v>660.07912499999998</v>
      </c>
      <c r="G168" s="142" t="s">
        <v>56</v>
      </c>
      <c r="H168" s="144"/>
      <c r="I168" s="134"/>
      <c r="J168" s="144">
        <v>0</v>
      </c>
      <c r="K168" s="134"/>
      <c r="L168" s="145">
        <v>0</v>
      </c>
      <c r="M168" s="134"/>
      <c r="N168" s="144">
        <v>0</v>
      </c>
      <c r="O168" s="134"/>
      <c r="P168" s="145">
        <v>0</v>
      </c>
      <c r="Q168" s="134"/>
      <c r="R168" s="144">
        <v>0</v>
      </c>
      <c r="S168" s="134"/>
      <c r="T168" s="145">
        <v>0</v>
      </c>
      <c r="U168" s="134"/>
      <c r="V168" s="144">
        <v>0</v>
      </c>
      <c r="W168" s="134"/>
      <c r="X168" s="145">
        <v>0</v>
      </c>
      <c r="Y168" s="141"/>
      <c r="Z168" s="144">
        <v>0</v>
      </c>
      <c r="AA168" s="134"/>
      <c r="AB168" s="3"/>
      <c r="AC168" s="3"/>
    </row>
    <row r="169" spans="2:29" ht="30" customHeight="1" x14ac:dyDescent="0.3">
      <c r="B169" s="119"/>
      <c r="C169" s="151"/>
      <c r="D169" s="153"/>
      <c r="E169" s="146" t="s">
        <v>24</v>
      </c>
      <c r="F169" s="148">
        <f>$D$1*Rates!K32</f>
        <v>843.06600000000003</v>
      </c>
      <c r="G169" s="142"/>
      <c r="H169" s="135"/>
      <c r="I169" s="134"/>
      <c r="J169" s="135"/>
      <c r="K169" s="134"/>
      <c r="L169" s="138"/>
      <c r="M169" s="134"/>
      <c r="N169" s="135"/>
      <c r="O169" s="134"/>
      <c r="P169" s="138"/>
      <c r="Q169" s="134"/>
      <c r="R169" s="135"/>
      <c r="S169" s="134"/>
      <c r="T169" s="138"/>
      <c r="U169" s="134"/>
      <c r="V169" s="135"/>
      <c r="W169" s="134"/>
      <c r="X169" s="138"/>
      <c r="Y169" s="141"/>
      <c r="Z169" s="135"/>
      <c r="AA169" s="134"/>
      <c r="AB169" s="3"/>
      <c r="AC169" s="3"/>
    </row>
    <row r="170" spans="2:29" ht="30" customHeight="1" thickBot="1" x14ac:dyDescent="0.35">
      <c r="B170" s="119"/>
      <c r="C170" s="151"/>
      <c r="D170" s="153"/>
      <c r="E170" s="147"/>
      <c r="F170" s="149">
        <f>$D$1*[1]Rates!J162</f>
        <v>0</v>
      </c>
      <c r="G170" s="143"/>
      <c r="H170" s="135"/>
      <c r="I170" s="134"/>
      <c r="J170" s="135"/>
      <c r="K170" s="134"/>
      <c r="L170" s="138"/>
      <c r="M170" s="134"/>
      <c r="N170" s="135"/>
      <c r="O170" s="134"/>
      <c r="P170" s="138"/>
      <c r="Q170" s="134"/>
      <c r="R170" s="135"/>
      <c r="S170" s="134"/>
      <c r="T170" s="138"/>
      <c r="U170" s="134"/>
      <c r="V170" s="135"/>
      <c r="W170" s="134"/>
      <c r="X170" s="138"/>
      <c r="Y170" s="141"/>
      <c r="Z170" s="135"/>
      <c r="AA170" s="134"/>
      <c r="AB170" s="3"/>
      <c r="AC170" s="3"/>
    </row>
    <row r="171" spans="2:29" ht="30" customHeight="1" x14ac:dyDescent="0.3">
      <c r="B171" s="119"/>
      <c r="C171" s="150" t="s">
        <v>90</v>
      </c>
      <c r="D171" s="152" t="s">
        <v>187</v>
      </c>
      <c r="E171" s="9" t="s">
        <v>18</v>
      </c>
      <c r="F171" s="10">
        <v>3</v>
      </c>
      <c r="G171" s="154" t="s">
        <v>242</v>
      </c>
      <c r="H171" s="112"/>
      <c r="I171" s="133">
        <f>1.027*((H171*$F171*$F172)+(H171*0.2*$F173)+(H171*0.1*$F174)+(H174*$F175))</f>
        <v>0</v>
      </c>
      <c r="J171" s="112">
        <v>0</v>
      </c>
      <c r="K171" s="133">
        <f>1.056*((J171*$F171*$F172)+(J171*0.2*$F173)+(J171*0.1*$F174)+(J174*$F175))</f>
        <v>0</v>
      </c>
      <c r="L171" s="137">
        <v>0</v>
      </c>
      <c r="M171" s="133">
        <f>1.083*((L171*$F171*$F172)+(L171*0.2*$F173)+(L171*0.1*$F174)+(L174*$F175))</f>
        <v>0</v>
      </c>
      <c r="N171" s="112">
        <v>0</v>
      </c>
      <c r="O171" s="133">
        <f>1.11*((N171*$F171*$F172)+(N171*0.2*$F173)+(N171*0.1*$F174)+(N174*$F175))</f>
        <v>0</v>
      </c>
      <c r="P171" s="137">
        <v>0</v>
      </c>
      <c r="Q171" s="133">
        <f>1.14*((P171*$F171*$F172)+(P171*0.2*$F173)+(P171*0.1*$F174)+(P174*$F175))</f>
        <v>0</v>
      </c>
      <c r="R171" s="112">
        <v>0</v>
      </c>
      <c r="S171" s="133">
        <f>1.172*((R171*$F171*$F172)+(R171*0.2*$F173)+(R171*0.1*$F174)+(R174*$F175))</f>
        <v>0</v>
      </c>
      <c r="T171" s="137">
        <v>0</v>
      </c>
      <c r="U171" s="133">
        <f>1.206*((T171*$F171*$F172)+(T171*0.2*$F173)+(T171*0.1*$F174)+(T174*$F175))</f>
        <v>0</v>
      </c>
      <c r="V171" s="112">
        <v>0</v>
      </c>
      <c r="W171" s="133">
        <f>1.242*((V171*$F171*$F172)+(V171*0.2*$F173)+(V171*0.1*$F174)+(V174*$F175))</f>
        <v>0</v>
      </c>
      <c r="X171" s="137">
        <v>0</v>
      </c>
      <c r="Y171" s="140">
        <f>(X171*$F171*$F172)+(X171*0.2*$F173)+(X171*0.1*$F174)+(X174*$F175)</f>
        <v>0</v>
      </c>
      <c r="Z171" s="112">
        <v>0</v>
      </c>
      <c r="AA171" s="133">
        <f>(Z171*$F171*$F172)+(Z171*0.2*$F173)+(Z171*0.1*$F174)+(Z174*$F175)</f>
        <v>0</v>
      </c>
      <c r="AB171" s="3"/>
      <c r="AC171" s="3"/>
    </row>
    <row r="172" spans="2:29" ht="30" customHeight="1" x14ac:dyDescent="0.3">
      <c r="B172" s="119"/>
      <c r="C172" s="151"/>
      <c r="D172" s="153"/>
      <c r="E172" s="11" t="s">
        <v>20</v>
      </c>
      <c r="F172" s="12">
        <f>$D$1*Rates!H33</f>
        <v>139.97812500000001</v>
      </c>
      <c r="G172" s="142"/>
      <c r="H172" s="135"/>
      <c r="I172" s="134"/>
      <c r="J172" s="135"/>
      <c r="K172" s="134"/>
      <c r="L172" s="138"/>
      <c r="M172" s="134"/>
      <c r="N172" s="135"/>
      <c r="O172" s="134"/>
      <c r="P172" s="138"/>
      <c r="Q172" s="134"/>
      <c r="R172" s="135"/>
      <c r="S172" s="134"/>
      <c r="T172" s="138"/>
      <c r="U172" s="134"/>
      <c r="V172" s="135"/>
      <c r="W172" s="134"/>
      <c r="X172" s="138"/>
      <c r="Y172" s="141"/>
      <c r="Z172" s="135"/>
      <c r="AA172" s="134"/>
      <c r="AB172" s="3"/>
      <c r="AC172" s="3"/>
    </row>
    <row r="173" spans="2:29" ht="30" customHeight="1" x14ac:dyDescent="0.3">
      <c r="B173" s="119"/>
      <c r="C173" s="151"/>
      <c r="D173" s="153"/>
      <c r="E173" s="11" t="s">
        <v>21</v>
      </c>
      <c r="F173" s="12">
        <f>$D$1*Rates!I33</f>
        <v>300.07912499999998</v>
      </c>
      <c r="G173" s="155"/>
      <c r="H173" s="136"/>
      <c r="I173" s="134"/>
      <c r="J173" s="136"/>
      <c r="K173" s="134"/>
      <c r="L173" s="139"/>
      <c r="M173" s="134"/>
      <c r="N173" s="136"/>
      <c r="O173" s="134"/>
      <c r="P173" s="139"/>
      <c r="Q173" s="134"/>
      <c r="R173" s="136"/>
      <c r="S173" s="134"/>
      <c r="T173" s="139"/>
      <c r="U173" s="134"/>
      <c r="V173" s="136"/>
      <c r="W173" s="134"/>
      <c r="X173" s="139"/>
      <c r="Y173" s="141"/>
      <c r="Z173" s="136"/>
      <c r="AA173" s="134"/>
      <c r="AB173" s="3"/>
      <c r="AC173" s="3"/>
    </row>
    <row r="174" spans="2:29" ht="30" customHeight="1" x14ac:dyDescent="0.3">
      <c r="B174" s="119"/>
      <c r="C174" s="151"/>
      <c r="D174" s="153"/>
      <c r="E174" s="11" t="s">
        <v>22</v>
      </c>
      <c r="F174" s="12">
        <f>$D$1*Rates!J33</f>
        <v>660.07912499999998</v>
      </c>
      <c r="G174" s="142" t="s">
        <v>56</v>
      </c>
      <c r="H174" s="144"/>
      <c r="I174" s="134"/>
      <c r="J174" s="144">
        <v>0</v>
      </c>
      <c r="K174" s="134"/>
      <c r="L174" s="145">
        <v>0</v>
      </c>
      <c r="M174" s="134"/>
      <c r="N174" s="144">
        <v>0</v>
      </c>
      <c r="O174" s="134"/>
      <c r="P174" s="145">
        <v>0</v>
      </c>
      <c r="Q174" s="134"/>
      <c r="R174" s="144">
        <v>0</v>
      </c>
      <c r="S174" s="134"/>
      <c r="T174" s="145">
        <v>0</v>
      </c>
      <c r="U174" s="134"/>
      <c r="V174" s="144">
        <v>0</v>
      </c>
      <c r="W174" s="134"/>
      <c r="X174" s="145">
        <v>0</v>
      </c>
      <c r="Y174" s="141"/>
      <c r="Z174" s="144">
        <v>0</v>
      </c>
      <c r="AA174" s="134"/>
      <c r="AB174" s="3"/>
      <c r="AC174" s="3"/>
    </row>
    <row r="175" spans="2:29" ht="30" customHeight="1" x14ac:dyDescent="0.3">
      <c r="B175" s="119"/>
      <c r="C175" s="151"/>
      <c r="D175" s="153"/>
      <c r="E175" s="146" t="s">
        <v>24</v>
      </c>
      <c r="F175" s="148">
        <f>$D$1*Rates!K33</f>
        <v>843.06600000000003</v>
      </c>
      <c r="G175" s="142"/>
      <c r="H175" s="135"/>
      <c r="I175" s="134"/>
      <c r="J175" s="135"/>
      <c r="K175" s="134"/>
      <c r="L175" s="138"/>
      <c r="M175" s="134"/>
      <c r="N175" s="135"/>
      <c r="O175" s="134"/>
      <c r="P175" s="138"/>
      <c r="Q175" s="134"/>
      <c r="R175" s="135"/>
      <c r="S175" s="134"/>
      <c r="T175" s="138"/>
      <c r="U175" s="134"/>
      <c r="V175" s="135"/>
      <c r="W175" s="134"/>
      <c r="X175" s="138"/>
      <c r="Y175" s="141"/>
      <c r="Z175" s="135"/>
      <c r="AA175" s="134"/>
      <c r="AB175" s="3"/>
      <c r="AC175" s="3"/>
    </row>
    <row r="176" spans="2:29" ht="30" customHeight="1" thickBot="1" x14ac:dyDescent="0.35">
      <c r="B176" s="119"/>
      <c r="C176" s="151"/>
      <c r="D176" s="153"/>
      <c r="E176" s="147"/>
      <c r="F176" s="149">
        <f>$D$1*[1]Rates!J168</f>
        <v>0</v>
      </c>
      <c r="G176" s="143"/>
      <c r="H176" s="135"/>
      <c r="I176" s="134"/>
      <c r="J176" s="135"/>
      <c r="K176" s="134"/>
      <c r="L176" s="138"/>
      <c r="M176" s="134"/>
      <c r="N176" s="135"/>
      <c r="O176" s="134"/>
      <c r="P176" s="138"/>
      <c r="Q176" s="134"/>
      <c r="R176" s="135"/>
      <c r="S176" s="134"/>
      <c r="T176" s="138"/>
      <c r="U176" s="134"/>
      <c r="V176" s="135"/>
      <c r="W176" s="134"/>
      <c r="X176" s="138"/>
      <c r="Y176" s="141"/>
      <c r="Z176" s="135"/>
      <c r="AA176" s="134"/>
      <c r="AB176" s="3"/>
      <c r="AC176" s="3"/>
    </row>
    <row r="177" spans="2:29" ht="30" customHeight="1" x14ac:dyDescent="0.3">
      <c r="B177" s="119"/>
      <c r="C177" s="150" t="s">
        <v>91</v>
      </c>
      <c r="D177" s="152" t="s">
        <v>188</v>
      </c>
      <c r="E177" s="9" t="s">
        <v>18</v>
      </c>
      <c r="F177" s="10">
        <v>3</v>
      </c>
      <c r="G177" s="154" t="s">
        <v>243</v>
      </c>
      <c r="H177" s="112"/>
      <c r="I177" s="133">
        <f>1.027*((H177*$F177*$F178)+(H177*0.2*$F179)+(H177*0.1*$F180)+(H180*$F181))</f>
        <v>0</v>
      </c>
      <c r="J177" s="112">
        <v>0</v>
      </c>
      <c r="K177" s="133">
        <f>1.056*((J177*$F177*$F178)+(J177*0.2*$F179)+(J177*0.1*$F180)+(J180*$F181))</f>
        <v>0</v>
      </c>
      <c r="L177" s="137">
        <v>0</v>
      </c>
      <c r="M177" s="133">
        <f>1.083*((L177*$F177*$F178)+(L177*0.2*$F179)+(L177*0.1*$F180)+(L180*$F181))</f>
        <v>0</v>
      </c>
      <c r="N177" s="112">
        <v>0</v>
      </c>
      <c r="O177" s="133">
        <f>1.11*((N177*$F177*$F178)+(N177*0.2*$F179)+(N177*0.1*$F180)+(N180*$F181))</f>
        <v>0</v>
      </c>
      <c r="P177" s="137">
        <v>0</v>
      </c>
      <c r="Q177" s="133">
        <f>1.14*((P177*$F177*$F178)+(P177*0.2*$F179)+(P177*0.1*$F180)+(P180*$F181))</f>
        <v>0</v>
      </c>
      <c r="R177" s="112">
        <v>0</v>
      </c>
      <c r="S177" s="133">
        <f>1.172*((R177*$F177*$F178)+(R177*0.2*$F179)+(R177*0.1*$F180)+(R180*$F181))</f>
        <v>0</v>
      </c>
      <c r="T177" s="137">
        <v>0</v>
      </c>
      <c r="U177" s="133">
        <f>1.206*((T177*$F177*$F178)+(T177*0.2*$F179)+(T177*0.1*$F180)+(T180*$F181))</f>
        <v>0</v>
      </c>
      <c r="V177" s="112">
        <v>0</v>
      </c>
      <c r="W177" s="133">
        <f>1.242*((V177*$F177*$F178)+(V177*0.2*$F179)+(V177*0.1*$F180)+(V180*$F181))</f>
        <v>0</v>
      </c>
      <c r="X177" s="137">
        <v>0</v>
      </c>
      <c r="Y177" s="140">
        <f>(X177*$F177*$F178)+(X177*0.2*$F179)+(X177*0.1*$F180)+(X180*$F181)</f>
        <v>0</v>
      </c>
      <c r="Z177" s="112">
        <v>0</v>
      </c>
      <c r="AA177" s="133">
        <f>(Z177*$F177*$F178)+(Z177*0.2*$F179)+(Z177*0.1*$F180)+(Z180*$F181)</f>
        <v>0</v>
      </c>
      <c r="AB177" s="3"/>
      <c r="AC177" s="3"/>
    </row>
    <row r="178" spans="2:29" ht="30" customHeight="1" x14ac:dyDescent="0.3">
      <c r="B178" s="119"/>
      <c r="C178" s="151"/>
      <c r="D178" s="153"/>
      <c r="E178" s="11" t="s">
        <v>20</v>
      </c>
      <c r="F178" s="12">
        <f>$D$1*Rates!H34</f>
        <v>200</v>
      </c>
      <c r="G178" s="142"/>
      <c r="H178" s="135"/>
      <c r="I178" s="134"/>
      <c r="J178" s="135"/>
      <c r="K178" s="134"/>
      <c r="L178" s="138"/>
      <c r="M178" s="134"/>
      <c r="N178" s="135"/>
      <c r="O178" s="134"/>
      <c r="P178" s="138"/>
      <c r="Q178" s="134"/>
      <c r="R178" s="135"/>
      <c r="S178" s="134"/>
      <c r="T178" s="138"/>
      <c r="U178" s="134"/>
      <c r="V178" s="135"/>
      <c r="W178" s="134"/>
      <c r="X178" s="138"/>
      <c r="Y178" s="141"/>
      <c r="Z178" s="135"/>
      <c r="AA178" s="134"/>
      <c r="AB178" s="3"/>
      <c r="AC178" s="3"/>
    </row>
    <row r="179" spans="2:29" ht="30" customHeight="1" x14ac:dyDescent="0.3">
      <c r="B179" s="119"/>
      <c r="C179" s="151"/>
      <c r="D179" s="153"/>
      <c r="E179" s="11" t="s">
        <v>21</v>
      </c>
      <c r="F179" s="12">
        <f>$D$1*Rates!I34</f>
        <v>400</v>
      </c>
      <c r="G179" s="155"/>
      <c r="H179" s="136"/>
      <c r="I179" s="134"/>
      <c r="J179" s="136"/>
      <c r="K179" s="134"/>
      <c r="L179" s="139"/>
      <c r="M179" s="134"/>
      <c r="N179" s="136"/>
      <c r="O179" s="134"/>
      <c r="P179" s="139"/>
      <c r="Q179" s="134"/>
      <c r="R179" s="136"/>
      <c r="S179" s="134"/>
      <c r="T179" s="139"/>
      <c r="U179" s="134"/>
      <c r="V179" s="136"/>
      <c r="W179" s="134"/>
      <c r="X179" s="139"/>
      <c r="Y179" s="141"/>
      <c r="Z179" s="136"/>
      <c r="AA179" s="134"/>
      <c r="AB179" s="3"/>
      <c r="AC179" s="3"/>
    </row>
    <row r="180" spans="2:29" ht="30" customHeight="1" x14ac:dyDescent="0.3">
      <c r="B180" s="119"/>
      <c r="C180" s="151"/>
      <c r="D180" s="153"/>
      <c r="E180" s="11" t="s">
        <v>22</v>
      </c>
      <c r="F180" s="12">
        <f>$D$1*Rates!J34</f>
        <v>800</v>
      </c>
      <c r="G180" s="142" t="s">
        <v>56</v>
      </c>
      <c r="H180" s="144"/>
      <c r="I180" s="134"/>
      <c r="J180" s="144">
        <v>0</v>
      </c>
      <c r="K180" s="134"/>
      <c r="L180" s="145">
        <v>0</v>
      </c>
      <c r="M180" s="134"/>
      <c r="N180" s="144">
        <v>0</v>
      </c>
      <c r="O180" s="134"/>
      <c r="P180" s="145">
        <v>0</v>
      </c>
      <c r="Q180" s="134"/>
      <c r="R180" s="144">
        <v>0</v>
      </c>
      <c r="S180" s="134"/>
      <c r="T180" s="145">
        <v>0</v>
      </c>
      <c r="U180" s="134"/>
      <c r="V180" s="144">
        <v>0</v>
      </c>
      <c r="W180" s="134"/>
      <c r="X180" s="145">
        <v>0</v>
      </c>
      <c r="Y180" s="141"/>
      <c r="Z180" s="144">
        <v>0</v>
      </c>
      <c r="AA180" s="134"/>
      <c r="AB180" s="3"/>
      <c r="AC180" s="3"/>
    </row>
    <row r="181" spans="2:29" ht="30" customHeight="1" x14ac:dyDescent="0.3">
      <c r="B181" s="119"/>
      <c r="C181" s="151"/>
      <c r="D181" s="153"/>
      <c r="E181" s="146" t="s">
        <v>24</v>
      </c>
      <c r="F181" s="148">
        <f>$D$1*Rates!K34</f>
        <v>1000</v>
      </c>
      <c r="G181" s="142"/>
      <c r="H181" s="135"/>
      <c r="I181" s="134"/>
      <c r="J181" s="135"/>
      <c r="K181" s="134"/>
      <c r="L181" s="138"/>
      <c r="M181" s="134"/>
      <c r="N181" s="135"/>
      <c r="O181" s="134"/>
      <c r="P181" s="138"/>
      <c r="Q181" s="134"/>
      <c r="R181" s="135"/>
      <c r="S181" s="134"/>
      <c r="T181" s="138"/>
      <c r="U181" s="134"/>
      <c r="V181" s="135"/>
      <c r="W181" s="134"/>
      <c r="X181" s="138"/>
      <c r="Y181" s="141"/>
      <c r="Z181" s="135"/>
      <c r="AA181" s="134"/>
      <c r="AB181" s="3"/>
      <c r="AC181" s="3"/>
    </row>
    <row r="182" spans="2:29" ht="30" customHeight="1" thickBot="1" x14ac:dyDescent="0.35">
      <c r="B182" s="120"/>
      <c r="C182" s="151"/>
      <c r="D182" s="153"/>
      <c r="E182" s="147"/>
      <c r="F182" s="149">
        <f>$D$1*[1]Rates!J174</f>
        <v>0</v>
      </c>
      <c r="G182" s="143"/>
      <c r="H182" s="135"/>
      <c r="I182" s="134"/>
      <c r="J182" s="135"/>
      <c r="K182" s="134"/>
      <c r="L182" s="138"/>
      <c r="M182" s="134"/>
      <c r="N182" s="135"/>
      <c r="O182" s="134"/>
      <c r="P182" s="138"/>
      <c r="Q182" s="134"/>
      <c r="R182" s="135"/>
      <c r="S182" s="134"/>
      <c r="T182" s="138"/>
      <c r="U182" s="134"/>
      <c r="V182" s="135"/>
      <c r="W182" s="134"/>
      <c r="X182" s="138"/>
      <c r="Y182" s="141"/>
      <c r="Z182" s="135"/>
      <c r="AA182" s="134"/>
      <c r="AB182" s="3"/>
      <c r="AC182" s="3"/>
    </row>
    <row r="183" spans="2:29" ht="30" customHeight="1" x14ac:dyDescent="0.3">
      <c r="B183" s="118" t="s">
        <v>57</v>
      </c>
      <c r="C183" s="150" t="s">
        <v>102</v>
      </c>
      <c r="D183" s="152" t="s">
        <v>189</v>
      </c>
      <c r="E183" s="9" t="s">
        <v>18</v>
      </c>
      <c r="F183" s="10">
        <v>3</v>
      </c>
      <c r="G183" s="154" t="s">
        <v>244</v>
      </c>
      <c r="H183" s="112"/>
      <c r="I183" s="133">
        <f>1.027*((H183*$F183*$F184)+(H183*0.2*$F185)+(H183*0.1*$F186)+(H186*$F187))</f>
        <v>0</v>
      </c>
      <c r="J183" s="112">
        <v>0</v>
      </c>
      <c r="K183" s="133">
        <f>1.056*((J183*$F183*$F184)+(J183*0.2*$F185)+(J183*0.1*$F186)+(J186*$F187))</f>
        <v>0</v>
      </c>
      <c r="L183" s="137">
        <v>0</v>
      </c>
      <c r="M183" s="133">
        <f>1.083*((L183*$F183*$F184)+(L183*0.2*$F185)+(L183*0.1*$F186)+(L186*$F187))</f>
        <v>0</v>
      </c>
      <c r="N183" s="112">
        <v>0</v>
      </c>
      <c r="O183" s="133">
        <f>1.11*((N183*$F183*$F184)+(N183*0.2*$F185)+(N183*0.1*$F186)+(N186*$F187))</f>
        <v>0</v>
      </c>
      <c r="P183" s="137">
        <v>0</v>
      </c>
      <c r="Q183" s="133">
        <f>1.14*((P183*$F183*$F184)+(P183*0.2*$F185)+(P183*0.1*$F186)+(P186*$F187))</f>
        <v>0</v>
      </c>
      <c r="R183" s="112">
        <v>0</v>
      </c>
      <c r="S183" s="133">
        <f>1.172*((R183*$F183*$F184)+(R183*0.2*$F185)+(R183*0.1*$F186)+(R186*$F187))</f>
        <v>0</v>
      </c>
      <c r="T183" s="137">
        <v>0</v>
      </c>
      <c r="U183" s="133">
        <f>1.206*((T183*$F183*$F184)+(T183*0.2*$F185)+(T183*0.1*$F186)+(T186*$F187))</f>
        <v>0</v>
      </c>
      <c r="V183" s="112">
        <v>0</v>
      </c>
      <c r="W183" s="133">
        <f>1.242*((V183*$F183*$F184)+(V183*0.2*$F185)+(V183*0.1*$F186)+(V186*$F187))</f>
        <v>0</v>
      </c>
      <c r="X183" s="137">
        <v>0</v>
      </c>
      <c r="Y183" s="140">
        <f>(X183*$F183*$F184)+(X183*0.2*$F185)+(X183*0.1*$F186)+(X186*$F187)</f>
        <v>0</v>
      </c>
      <c r="Z183" s="112">
        <v>0</v>
      </c>
      <c r="AA183" s="133">
        <f>(Z183*$F183*$F184)+(Z183*0.2*$F185)+(Z183*0.1*$F186)+(Z186*$F187)</f>
        <v>0</v>
      </c>
      <c r="AB183" s="3"/>
      <c r="AC183" s="3"/>
    </row>
    <row r="184" spans="2:29" ht="30" customHeight="1" x14ac:dyDescent="0.3">
      <c r="B184" s="119"/>
      <c r="C184" s="151"/>
      <c r="D184" s="153"/>
      <c r="E184" s="11" t="s">
        <v>20</v>
      </c>
      <c r="F184" s="12">
        <f>$D$1*Rates!H35</f>
        <v>139.97812500000001</v>
      </c>
      <c r="G184" s="142"/>
      <c r="H184" s="135"/>
      <c r="I184" s="134"/>
      <c r="J184" s="135"/>
      <c r="K184" s="134"/>
      <c r="L184" s="138"/>
      <c r="M184" s="134"/>
      <c r="N184" s="135"/>
      <c r="O184" s="134"/>
      <c r="P184" s="138"/>
      <c r="Q184" s="134"/>
      <c r="R184" s="135"/>
      <c r="S184" s="134"/>
      <c r="T184" s="138"/>
      <c r="U184" s="134"/>
      <c r="V184" s="135"/>
      <c r="W184" s="134"/>
      <c r="X184" s="138"/>
      <c r="Y184" s="141"/>
      <c r="Z184" s="135"/>
      <c r="AA184" s="134"/>
      <c r="AB184" s="3"/>
      <c r="AC184" s="3"/>
    </row>
    <row r="185" spans="2:29" ht="30" customHeight="1" x14ac:dyDescent="0.3">
      <c r="B185" s="119"/>
      <c r="C185" s="151"/>
      <c r="D185" s="153"/>
      <c r="E185" s="11" t="s">
        <v>21</v>
      </c>
      <c r="F185" s="12">
        <f>$D$1*Rates!I35</f>
        <v>300.07912499999998</v>
      </c>
      <c r="G185" s="155"/>
      <c r="H185" s="136"/>
      <c r="I185" s="134"/>
      <c r="J185" s="136"/>
      <c r="K185" s="134"/>
      <c r="L185" s="139"/>
      <c r="M185" s="134"/>
      <c r="N185" s="136"/>
      <c r="O185" s="134"/>
      <c r="P185" s="139"/>
      <c r="Q185" s="134"/>
      <c r="R185" s="136"/>
      <c r="S185" s="134"/>
      <c r="T185" s="139"/>
      <c r="U185" s="134"/>
      <c r="V185" s="136"/>
      <c r="W185" s="134"/>
      <c r="X185" s="139"/>
      <c r="Y185" s="141"/>
      <c r="Z185" s="136"/>
      <c r="AA185" s="134"/>
      <c r="AB185" s="3"/>
      <c r="AC185" s="3"/>
    </row>
    <row r="186" spans="2:29" ht="30" customHeight="1" x14ac:dyDescent="0.3">
      <c r="B186" s="119"/>
      <c r="C186" s="151"/>
      <c r="D186" s="153"/>
      <c r="E186" s="11" t="s">
        <v>22</v>
      </c>
      <c r="F186" s="12">
        <f>$D$1*Rates!J35</f>
        <v>660.07912499999998</v>
      </c>
      <c r="G186" s="142" t="s">
        <v>163</v>
      </c>
      <c r="H186" s="144"/>
      <c r="I186" s="134"/>
      <c r="J186" s="144">
        <v>0</v>
      </c>
      <c r="K186" s="134"/>
      <c r="L186" s="145">
        <v>0</v>
      </c>
      <c r="M186" s="134"/>
      <c r="N186" s="144">
        <v>0</v>
      </c>
      <c r="O186" s="134"/>
      <c r="P186" s="145">
        <v>0</v>
      </c>
      <c r="Q186" s="134"/>
      <c r="R186" s="144">
        <v>0</v>
      </c>
      <c r="S186" s="134"/>
      <c r="T186" s="145">
        <v>0</v>
      </c>
      <c r="U186" s="134"/>
      <c r="V186" s="144">
        <v>0</v>
      </c>
      <c r="W186" s="134"/>
      <c r="X186" s="145">
        <v>0</v>
      </c>
      <c r="Y186" s="141"/>
      <c r="Z186" s="144">
        <v>0</v>
      </c>
      <c r="AA186" s="134"/>
      <c r="AB186" s="3"/>
      <c r="AC186" s="3"/>
    </row>
    <row r="187" spans="2:29" ht="30" customHeight="1" x14ac:dyDescent="0.3">
      <c r="B187" s="119"/>
      <c r="C187" s="151"/>
      <c r="D187" s="153"/>
      <c r="E187" s="146" t="s">
        <v>24</v>
      </c>
      <c r="F187" s="148">
        <f>$D$1*Rates!K35</f>
        <v>843.06600000000003</v>
      </c>
      <c r="G187" s="142"/>
      <c r="H187" s="135"/>
      <c r="I187" s="134"/>
      <c r="J187" s="135"/>
      <c r="K187" s="134"/>
      <c r="L187" s="138"/>
      <c r="M187" s="134"/>
      <c r="N187" s="135"/>
      <c r="O187" s="134"/>
      <c r="P187" s="138"/>
      <c r="Q187" s="134"/>
      <c r="R187" s="135"/>
      <c r="S187" s="134"/>
      <c r="T187" s="138"/>
      <c r="U187" s="134"/>
      <c r="V187" s="135"/>
      <c r="W187" s="134"/>
      <c r="X187" s="138"/>
      <c r="Y187" s="141"/>
      <c r="Z187" s="135"/>
      <c r="AA187" s="134"/>
      <c r="AB187" s="3"/>
      <c r="AC187" s="3"/>
    </row>
    <row r="188" spans="2:29" ht="30" customHeight="1" thickBot="1" x14ac:dyDescent="0.35">
      <c r="B188" s="119"/>
      <c r="C188" s="151"/>
      <c r="D188" s="153"/>
      <c r="E188" s="147"/>
      <c r="F188" s="149">
        <f>$D$1*[1]Rates!J180</f>
        <v>0</v>
      </c>
      <c r="G188" s="143"/>
      <c r="H188" s="135"/>
      <c r="I188" s="134"/>
      <c r="J188" s="135"/>
      <c r="K188" s="134"/>
      <c r="L188" s="138"/>
      <c r="M188" s="134"/>
      <c r="N188" s="135"/>
      <c r="O188" s="134"/>
      <c r="P188" s="138"/>
      <c r="Q188" s="134"/>
      <c r="R188" s="135"/>
      <c r="S188" s="134"/>
      <c r="T188" s="138"/>
      <c r="U188" s="134"/>
      <c r="V188" s="135"/>
      <c r="W188" s="134"/>
      <c r="X188" s="138"/>
      <c r="Y188" s="141"/>
      <c r="Z188" s="135"/>
      <c r="AA188" s="134"/>
      <c r="AB188" s="3"/>
      <c r="AC188" s="3"/>
    </row>
    <row r="189" spans="2:29" ht="30" customHeight="1" x14ac:dyDescent="0.3">
      <c r="B189" s="119"/>
      <c r="C189" s="150" t="s">
        <v>90</v>
      </c>
      <c r="D189" s="152" t="s">
        <v>189</v>
      </c>
      <c r="E189" s="9" t="s">
        <v>18</v>
      </c>
      <c r="F189" s="10">
        <v>3</v>
      </c>
      <c r="G189" s="154" t="s">
        <v>245</v>
      </c>
      <c r="H189" s="112"/>
      <c r="I189" s="133">
        <f>1.027*((H189*$F189*$F190)+(H189*0.2*$F191)+(H189*0.1*$F192)+(H192*$F193))</f>
        <v>0</v>
      </c>
      <c r="J189" s="112">
        <v>0</v>
      </c>
      <c r="K189" s="133">
        <f>1.056*((J189*$F189*$F190)+(J189*0.2*$F191)+(J189*0.1*$F192)+(J192*$F193))</f>
        <v>0</v>
      </c>
      <c r="L189" s="137">
        <v>0</v>
      </c>
      <c r="M189" s="133">
        <f>1.083*((L189*$F189*$F190)+(L189*0.2*$F191)+(L189*0.1*$F192)+(L192*$F193))</f>
        <v>0</v>
      </c>
      <c r="N189" s="112">
        <v>0</v>
      </c>
      <c r="O189" s="133">
        <f>1.11*((N189*$F189*$F190)+(N189*0.2*$F191)+(N189*0.1*$F192)+(N192*$F193))</f>
        <v>0</v>
      </c>
      <c r="P189" s="137">
        <v>0</v>
      </c>
      <c r="Q189" s="133">
        <f>1.14*((P189*$F189*$F190)+(P189*0.2*$F191)+(P189*0.1*$F192)+(P192*$F193))</f>
        <v>0</v>
      </c>
      <c r="R189" s="112">
        <v>0</v>
      </c>
      <c r="S189" s="133">
        <f>1.172*((R189*$F189*$F190)+(R189*0.2*$F191)+(R189*0.1*$F192)+(R192*$F193))</f>
        <v>0</v>
      </c>
      <c r="T189" s="137">
        <v>0</v>
      </c>
      <c r="U189" s="133">
        <f>1.206*((T189*$F189*$F190)+(T189*0.2*$F191)+(T189*0.1*$F192)+(T192*$F193))</f>
        <v>0</v>
      </c>
      <c r="V189" s="112">
        <v>0</v>
      </c>
      <c r="W189" s="133">
        <f>1.242*((V189*$F189*$F190)+(V189*0.2*$F191)+(V189*0.1*$F192)+(V192*$F193))</f>
        <v>0</v>
      </c>
      <c r="X189" s="137">
        <v>0</v>
      </c>
      <c r="Y189" s="140">
        <f>(X189*$F189*$F190)+(X189*0.2*$F191)+(X189*0.1*$F192)+(X192*$F193)</f>
        <v>0</v>
      </c>
      <c r="Z189" s="112">
        <v>0</v>
      </c>
      <c r="AA189" s="133">
        <f>(Z189*$F189*$F190)+(Z189*0.2*$F191)+(Z189*0.1*$F192)+(Z192*$F193)</f>
        <v>0</v>
      </c>
      <c r="AB189" s="3"/>
      <c r="AC189" s="3"/>
    </row>
    <row r="190" spans="2:29" ht="30" customHeight="1" x14ac:dyDescent="0.3">
      <c r="B190" s="119"/>
      <c r="C190" s="151"/>
      <c r="D190" s="153"/>
      <c r="E190" s="11" t="s">
        <v>20</v>
      </c>
      <c r="F190" s="12">
        <f>$D$1*Rates!H36</f>
        <v>139.97812500000001</v>
      </c>
      <c r="G190" s="142"/>
      <c r="H190" s="135"/>
      <c r="I190" s="134"/>
      <c r="J190" s="135"/>
      <c r="K190" s="134"/>
      <c r="L190" s="138"/>
      <c r="M190" s="134"/>
      <c r="N190" s="135"/>
      <c r="O190" s="134"/>
      <c r="P190" s="138"/>
      <c r="Q190" s="134"/>
      <c r="R190" s="135"/>
      <c r="S190" s="134"/>
      <c r="T190" s="138"/>
      <c r="U190" s="134"/>
      <c r="V190" s="135"/>
      <c r="W190" s="134"/>
      <c r="X190" s="138"/>
      <c r="Y190" s="141"/>
      <c r="Z190" s="135"/>
      <c r="AA190" s="134"/>
      <c r="AB190" s="3"/>
      <c r="AC190" s="3"/>
    </row>
    <row r="191" spans="2:29" ht="30" customHeight="1" x14ac:dyDescent="0.3">
      <c r="B191" s="119"/>
      <c r="C191" s="151"/>
      <c r="D191" s="153"/>
      <c r="E191" s="11" t="s">
        <v>21</v>
      </c>
      <c r="F191" s="12">
        <f>$D$1*Rates!I36</f>
        <v>300.07912499999998</v>
      </c>
      <c r="G191" s="155"/>
      <c r="H191" s="136"/>
      <c r="I191" s="134"/>
      <c r="J191" s="136"/>
      <c r="K191" s="134"/>
      <c r="L191" s="139"/>
      <c r="M191" s="134"/>
      <c r="N191" s="136"/>
      <c r="O191" s="134"/>
      <c r="P191" s="139"/>
      <c r="Q191" s="134"/>
      <c r="R191" s="136"/>
      <c r="S191" s="134"/>
      <c r="T191" s="139"/>
      <c r="U191" s="134"/>
      <c r="V191" s="136"/>
      <c r="W191" s="134"/>
      <c r="X191" s="139"/>
      <c r="Y191" s="141"/>
      <c r="Z191" s="136"/>
      <c r="AA191" s="134"/>
      <c r="AB191" s="3"/>
      <c r="AC191" s="3"/>
    </row>
    <row r="192" spans="2:29" ht="30" customHeight="1" x14ac:dyDescent="0.3">
      <c r="B192" s="119"/>
      <c r="C192" s="151"/>
      <c r="D192" s="153"/>
      <c r="E192" s="11" t="s">
        <v>22</v>
      </c>
      <c r="F192" s="12">
        <f>$D$1*Rates!J36</f>
        <v>660.07912499999998</v>
      </c>
      <c r="G192" s="142" t="s">
        <v>163</v>
      </c>
      <c r="H192" s="144"/>
      <c r="I192" s="134"/>
      <c r="J192" s="144">
        <v>0</v>
      </c>
      <c r="K192" s="134"/>
      <c r="L192" s="145">
        <v>0</v>
      </c>
      <c r="M192" s="134"/>
      <c r="N192" s="144">
        <v>0</v>
      </c>
      <c r="O192" s="134"/>
      <c r="P192" s="145">
        <v>0</v>
      </c>
      <c r="Q192" s="134"/>
      <c r="R192" s="144">
        <v>0</v>
      </c>
      <c r="S192" s="134"/>
      <c r="T192" s="145">
        <v>0</v>
      </c>
      <c r="U192" s="134"/>
      <c r="V192" s="144">
        <v>0</v>
      </c>
      <c r="W192" s="134"/>
      <c r="X192" s="145">
        <v>0</v>
      </c>
      <c r="Y192" s="141"/>
      <c r="Z192" s="144">
        <v>0</v>
      </c>
      <c r="AA192" s="134"/>
      <c r="AB192" s="3"/>
      <c r="AC192" s="3"/>
    </row>
    <row r="193" spans="2:29" ht="30" customHeight="1" x14ac:dyDescent="0.3">
      <c r="B193" s="119"/>
      <c r="C193" s="151"/>
      <c r="D193" s="153"/>
      <c r="E193" s="146" t="s">
        <v>24</v>
      </c>
      <c r="F193" s="148">
        <f>$D$1*Rates!K36</f>
        <v>843.06600000000003</v>
      </c>
      <c r="G193" s="142"/>
      <c r="H193" s="135"/>
      <c r="I193" s="134"/>
      <c r="J193" s="135"/>
      <c r="K193" s="134"/>
      <c r="L193" s="138"/>
      <c r="M193" s="134"/>
      <c r="N193" s="135"/>
      <c r="O193" s="134"/>
      <c r="P193" s="138"/>
      <c r="Q193" s="134"/>
      <c r="R193" s="135"/>
      <c r="S193" s="134"/>
      <c r="T193" s="138"/>
      <c r="U193" s="134"/>
      <c r="V193" s="135"/>
      <c r="W193" s="134"/>
      <c r="X193" s="138"/>
      <c r="Y193" s="141"/>
      <c r="Z193" s="135"/>
      <c r="AA193" s="134"/>
      <c r="AB193" s="3"/>
      <c r="AC193" s="3"/>
    </row>
    <row r="194" spans="2:29" ht="30" customHeight="1" thickBot="1" x14ac:dyDescent="0.35">
      <c r="B194" s="119"/>
      <c r="C194" s="151"/>
      <c r="D194" s="153"/>
      <c r="E194" s="147"/>
      <c r="F194" s="149">
        <f>$D$1*[1]Rates!J186</f>
        <v>0</v>
      </c>
      <c r="G194" s="143"/>
      <c r="H194" s="135"/>
      <c r="I194" s="134"/>
      <c r="J194" s="135"/>
      <c r="K194" s="134"/>
      <c r="L194" s="138"/>
      <c r="M194" s="134"/>
      <c r="N194" s="135"/>
      <c r="O194" s="134"/>
      <c r="P194" s="138"/>
      <c r="Q194" s="134"/>
      <c r="R194" s="135"/>
      <c r="S194" s="134"/>
      <c r="T194" s="138"/>
      <c r="U194" s="134"/>
      <c r="V194" s="135"/>
      <c r="W194" s="134"/>
      <c r="X194" s="138"/>
      <c r="Y194" s="141"/>
      <c r="Z194" s="135"/>
      <c r="AA194" s="134"/>
      <c r="AB194" s="3"/>
      <c r="AC194" s="3"/>
    </row>
    <row r="195" spans="2:29" ht="30" customHeight="1" x14ac:dyDescent="0.3">
      <c r="B195" s="119"/>
      <c r="C195" s="150" t="s">
        <v>91</v>
      </c>
      <c r="D195" s="152" t="s">
        <v>189</v>
      </c>
      <c r="E195" s="9" t="s">
        <v>18</v>
      </c>
      <c r="F195" s="10">
        <v>3</v>
      </c>
      <c r="G195" s="154" t="s">
        <v>246</v>
      </c>
      <c r="H195" s="112"/>
      <c r="I195" s="133">
        <f>1.027*((H195*$F195*$F196)+(H195*0.2*$F197)+(H195*0.1*$F198)+(H198*$F199))</f>
        <v>0</v>
      </c>
      <c r="J195" s="112">
        <v>0</v>
      </c>
      <c r="K195" s="133">
        <f>1.056*((J195*$F195*$F196)+(J195*0.2*$F197)+(J195*0.1*$F198)+(J198*$F199))</f>
        <v>0</v>
      </c>
      <c r="L195" s="137">
        <v>0</v>
      </c>
      <c r="M195" s="133">
        <f>1.083*((L195*$F195*$F196)+(L195*0.2*$F197)+(L195*0.1*$F198)+(L198*$F199))</f>
        <v>0</v>
      </c>
      <c r="N195" s="112">
        <v>0</v>
      </c>
      <c r="O195" s="133">
        <f>1.11*((N195*$F195*$F196)+(N195*0.2*$F197)+(N195*0.1*$F198)+(N198*$F199))</f>
        <v>0</v>
      </c>
      <c r="P195" s="137">
        <v>0</v>
      </c>
      <c r="Q195" s="133">
        <f>1.14*((P195*$F195*$F196)+(P195*0.2*$F197)+(P195*0.1*$F198)+(P198*$F199))</f>
        <v>0</v>
      </c>
      <c r="R195" s="112">
        <v>0</v>
      </c>
      <c r="S195" s="133">
        <f>1.172*((R195*$F195*$F196)+(R195*0.2*$F197)+(R195*0.1*$F198)+(R198*$F199))</f>
        <v>0</v>
      </c>
      <c r="T195" s="137">
        <v>0</v>
      </c>
      <c r="U195" s="133">
        <f>1.206*((T195*$F195*$F196)+(T195*0.2*$F197)+(T195*0.1*$F198)+(T198*$F199))</f>
        <v>0</v>
      </c>
      <c r="V195" s="112">
        <v>0</v>
      </c>
      <c r="W195" s="133">
        <f>1.242*((V195*$F195*$F196)+(V195*0.2*$F197)+(V195*0.1*$F198)+(V198*$F199))</f>
        <v>0</v>
      </c>
      <c r="X195" s="137">
        <v>0</v>
      </c>
      <c r="Y195" s="140">
        <f>(X195*$F195*$F196)+(X195*0.2*$F197)+(X195*0.1*$F198)+(X198*$F199)</f>
        <v>0</v>
      </c>
      <c r="Z195" s="112">
        <v>0</v>
      </c>
      <c r="AA195" s="133">
        <f>(Z195*$F195*$F196)+(Z195*0.2*$F197)+(Z195*0.1*$F198)+(Z198*$F199)</f>
        <v>0</v>
      </c>
      <c r="AB195" s="3"/>
      <c r="AC195" s="3"/>
    </row>
    <row r="196" spans="2:29" ht="30" customHeight="1" x14ac:dyDescent="0.3">
      <c r="B196" s="119"/>
      <c r="C196" s="151"/>
      <c r="D196" s="153"/>
      <c r="E196" s="11" t="s">
        <v>20</v>
      </c>
      <c r="F196" s="12">
        <f>$D$1*Rates!H37</f>
        <v>200</v>
      </c>
      <c r="G196" s="142"/>
      <c r="H196" s="135"/>
      <c r="I196" s="134"/>
      <c r="J196" s="135"/>
      <c r="K196" s="134"/>
      <c r="L196" s="138"/>
      <c r="M196" s="134"/>
      <c r="N196" s="135"/>
      <c r="O196" s="134"/>
      <c r="P196" s="138"/>
      <c r="Q196" s="134"/>
      <c r="R196" s="135"/>
      <c r="S196" s="134"/>
      <c r="T196" s="138"/>
      <c r="U196" s="134"/>
      <c r="V196" s="135"/>
      <c r="W196" s="134"/>
      <c r="X196" s="138"/>
      <c r="Y196" s="141"/>
      <c r="Z196" s="135"/>
      <c r="AA196" s="134"/>
      <c r="AB196" s="3"/>
      <c r="AC196" s="3"/>
    </row>
    <row r="197" spans="2:29" ht="30" customHeight="1" x14ac:dyDescent="0.3">
      <c r="B197" s="119"/>
      <c r="C197" s="151"/>
      <c r="D197" s="153"/>
      <c r="E197" s="11" t="s">
        <v>21</v>
      </c>
      <c r="F197" s="12">
        <f>$D$1*Rates!I37</f>
        <v>400</v>
      </c>
      <c r="G197" s="155"/>
      <c r="H197" s="136"/>
      <c r="I197" s="134"/>
      <c r="J197" s="136"/>
      <c r="K197" s="134"/>
      <c r="L197" s="139"/>
      <c r="M197" s="134"/>
      <c r="N197" s="136"/>
      <c r="O197" s="134"/>
      <c r="P197" s="139"/>
      <c r="Q197" s="134"/>
      <c r="R197" s="136"/>
      <c r="S197" s="134"/>
      <c r="T197" s="139"/>
      <c r="U197" s="134"/>
      <c r="V197" s="136"/>
      <c r="W197" s="134"/>
      <c r="X197" s="139"/>
      <c r="Y197" s="141"/>
      <c r="Z197" s="136"/>
      <c r="AA197" s="134"/>
      <c r="AB197" s="3"/>
      <c r="AC197" s="3"/>
    </row>
    <row r="198" spans="2:29" ht="30" customHeight="1" x14ac:dyDescent="0.3">
      <c r="B198" s="119"/>
      <c r="C198" s="151"/>
      <c r="D198" s="153"/>
      <c r="E198" s="11" t="s">
        <v>22</v>
      </c>
      <c r="F198" s="12">
        <f>$D$1*Rates!J37</f>
        <v>800</v>
      </c>
      <c r="G198" s="142" t="s">
        <v>163</v>
      </c>
      <c r="H198" s="144"/>
      <c r="I198" s="134"/>
      <c r="J198" s="144">
        <v>0</v>
      </c>
      <c r="K198" s="134"/>
      <c r="L198" s="145">
        <v>0</v>
      </c>
      <c r="M198" s="134"/>
      <c r="N198" s="144">
        <v>0</v>
      </c>
      <c r="O198" s="134"/>
      <c r="P198" s="145">
        <v>0</v>
      </c>
      <c r="Q198" s="134"/>
      <c r="R198" s="144">
        <v>0</v>
      </c>
      <c r="S198" s="134"/>
      <c r="T198" s="145">
        <v>0</v>
      </c>
      <c r="U198" s="134"/>
      <c r="V198" s="144">
        <v>0</v>
      </c>
      <c r="W198" s="134"/>
      <c r="X198" s="145">
        <v>0</v>
      </c>
      <c r="Y198" s="141"/>
      <c r="Z198" s="144">
        <v>0</v>
      </c>
      <c r="AA198" s="134"/>
      <c r="AB198" s="3"/>
      <c r="AC198" s="3"/>
    </row>
    <row r="199" spans="2:29" ht="30" customHeight="1" x14ac:dyDescent="0.3">
      <c r="B199" s="119"/>
      <c r="C199" s="151"/>
      <c r="D199" s="153"/>
      <c r="E199" s="146" t="s">
        <v>24</v>
      </c>
      <c r="F199" s="148">
        <f>$D$1*Rates!K37</f>
        <v>1000</v>
      </c>
      <c r="G199" s="142"/>
      <c r="H199" s="135"/>
      <c r="I199" s="134"/>
      <c r="J199" s="135"/>
      <c r="K199" s="134"/>
      <c r="L199" s="138"/>
      <c r="M199" s="134"/>
      <c r="N199" s="135"/>
      <c r="O199" s="134"/>
      <c r="P199" s="138"/>
      <c r="Q199" s="134"/>
      <c r="R199" s="135"/>
      <c r="S199" s="134"/>
      <c r="T199" s="138"/>
      <c r="U199" s="134"/>
      <c r="V199" s="135"/>
      <c r="W199" s="134"/>
      <c r="X199" s="138"/>
      <c r="Y199" s="141"/>
      <c r="Z199" s="135"/>
      <c r="AA199" s="134"/>
      <c r="AB199" s="3"/>
      <c r="AC199" s="3"/>
    </row>
    <row r="200" spans="2:29" ht="30" customHeight="1" thickBot="1" x14ac:dyDescent="0.35">
      <c r="B200" s="120"/>
      <c r="C200" s="151"/>
      <c r="D200" s="153"/>
      <c r="E200" s="147"/>
      <c r="F200" s="149">
        <f>$D$1*[1]Rates!J192</f>
        <v>0</v>
      </c>
      <c r="G200" s="143"/>
      <c r="H200" s="135"/>
      <c r="I200" s="134"/>
      <c r="J200" s="135"/>
      <c r="K200" s="134"/>
      <c r="L200" s="138"/>
      <c r="M200" s="134"/>
      <c r="N200" s="135"/>
      <c r="O200" s="134"/>
      <c r="P200" s="138"/>
      <c r="Q200" s="134"/>
      <c r="R200" s="135"/>
      <c r="S200" s="134"/>
      <c r="T200" s="138"/>
      <c r="U200" s="134"/>
      <c r="V200" s="135"/>
      <c r="W200" s="134"/>
      <c r="X200" s="138"/>
      <c r="Y200" s="141"/>
      <c r="Z200" s="135"/>
      <c r="AA200" s="134"/>
      <c r="AB200" s="3"/>
      <c r="AC200" s="3"/>
    </row>
    <row r="201" spans="2:29" ht="30" customHeight="1" x14ac:dyDescent="0.3">
      <c r="B201" s="118" t="s">
        <v>100</v>
      </c>
      <c r="C201" s="150" t="s">
        <v>102</v>
      </c>
      <c r="D201" s="152" t="s">
        <v>190</v>
      </c>
      <c r="E201" s="9" t="s">
        <v>51</v>
      </c>
      <c r="F201" s="10">
        <v>3</v>
      </c>
      <c r="G201" s="186" t="s">
        <v>247</v>
      </c>
      <c r="H201" s="161"/>
      <c r="I201" s="159">
        <f>1.027*(($F201*$F202*H201)+(0.2*H201*$F203)+(0.1*$F204*H201))</f>
        <v>0</v>
      </c>
      <c r="J201" s="161">
        <v>0</v>
      </c>
      <c r="K201" s="159">
        <f>1.056*(($F201*$F202*J201)+(0.2*J201*$F203)+(0.1*$F204*J201))</f>
        <v>0</v>
      </c>
      <c r="L201" s="156">
        <v>0</v>
      </c>
      <c r="M201" s="159">
        <f>1.083*(($F201*$F202*L201)+(0.2*L201*$F203)+(0.1*$F204*L201))</f>
        <v>0</v>
      </c>
      <c r="N201" s="161">
        <v>0</v>
      </c>
      <c r="O201" s="159">
        <f>1.11*(($F201*$F202*N201)+(0.2*N201*$F203)+(0.1*$F204*N201))</f>
        <v>0</v>
      </c>
      <c r="P201" s="156">
        <v>0</v>
      </c>
      <c r="Q201" s="159">
        <f>1.14*(($F201*$F202*P201)+(0.2*P201*$F203)+(0.1*$F204*P201))</f>
        <v>0</v>
      </c>
      <c r="R201" s="161">
        <v>0</v>
      </c>
      <c r="S201" s="159">
        <f>1.172*(($F201*$F202*R201)+(0.2*R201*$F203)+(0.1*$F204*R201))</f>
        <v>0</v>
      </c>
      <c r="T201" s="156">
        <v>0</v>
      </c>
      <c r="U201" s="159">
        <f>1.206*(($F201*$F202*T201)+(0.2*T201*$F203)+(0.1*$F204*T201))</f>
        <v>0</v>
      </c>
      <c r="V201" s="161">
        <v>0</v>
      </c>
      <c r="W201" s="159">
        <f>1.242*(($F201*$F202*V201)+(0.2*V201*$F203)+(0.1*$F204*V201))</f>
        <v>0</v>
      </c>
      <c r="X201" s="156">
        <v>0</v>
      </c>
      <c r="Y201" s="175">
        <f>($F201*$F202*X201)+(0.2*X201*$F203)+(0.1*$F204*X201)</f>
        <v>0</v>
      </c>
      <c r="Z201" s="161"/>
      <c r="AA201" s="159">
        <f>($F201*$F202*Z201)+(0.2*Z201*$F203)+(0.1*$F204*Z201)</f>
        <v>0</v>
      </c>
      <c r="AB201" s="3"/>
      <c r="AC201" s="3"/>
    </row>
    <row r="202" spans="2:29" ht="30" customHeight="1" x14ac:dyDescent="0.3">
      <c r="B202" s="119"/>
      <c r="C202" s="151"/>
      <c r="D202" s="185"/>
      <c r="E202" s="11" t="s">
        <v>53</v>
      </c>
      <c r="F202" s="12">
        <f>$D$1*Rates!H38</f>
        <v>501.04800000000006</v>
      </c>
      <c r="G202" s="187"/>
      <c r="H202" s="162"/>
      <c r="I202" s="134"/>
      <c r="J202" s="162"/>
      <c r="K202" s="134"/>
      <c r="L202" s="157"/>
      <c r="M202" s="134"/>
      <c r="N202" s="162"/>
      <c r="O202" s="134"/>
      <c r="P202" s="157"/>
      <c r="Q202" s="134"/>
      <c r="R202" s="162"/>
      <c r="S202" s="134"/>
      <c r="T202" s="157"/>
      <c r="U202" s="134"/>
      <c r="V202" s="162"/>
      <c r="W202" s="134"/>
      <c r="X202" s="157"/>
      <c r="Y202" s="141"/>
      <c r="Z202" s="162"/>
      <c r="AA202" s="134"/>
      <c r="AB202" s="3"/>
      <c r="AC202" s="3"/>
    </row>
    <row r="203" spans="2:29" ht="30" customHeight="1" x14ac:dyDescent="0.3">
      <c r="B203" s="119"/>
      <c r="C203" s="151"/>
      <c r="D203" s="185"/>
      <c r="E203" s="11" t="s">
        <v>21</v>
      </c>
      <c r="F203" s="12">
        <f>$D$1*Rates!I38</f>
        <v>714.5100000000001</v>
      </c>
      <c r="G203" s="187"/>
      <c r="H203" s="162"/>
      <c r="I203" s="134"/>
      <c r="J203" s="162"/>
      <c r="K203" s="134"/>
      <c r="L203" s="157"/>
      <c r="M203" s="134"/>
      <c r="N203" s="162"/>
      <c r="O203" s="134"/>
      <c r="P203" s="157"/>
      <c r="Q203" s="134"/>
      <c r="R203" s="162"/>
      <c r="S203" s="134"/>
      <c r="T203" s="157"/>
      <c r="U203" s="134"/>
      <c r="V203" s="162"/>
      <c r="W203" s="134"/>
      <c r="X203" s="157"/>
      <c r="Y203" s="141"/>
      <c r="Z203" s="162"/>
      <c r="AA203" s="134"/>
      <c r="AB203" s="3"/>
      <c r="AC203" s="3"/>
    </row>
    <row r="204" spans="2:29" ht="30" customHeight="1" thickBot="1" x14ac:dyDescent="0.35">
      <c r="B204" s="119"/>
      <c r="C204" s="174"/>
      <c r="D204" s="170"/>
      <c r="E204" s="16" t="s">
        <v>22</v>
      </c>
      <c r="F204" s="12">
        <f>$D$1*Rates!J38</f>
        <v>962.0100000000001</v>
      </c>
      <c r="G204" s="188"/>
      <c r="H204" s="163"/>
      <c r="I204" s="160"/>
      <c r="J204" s="163"/>
      <c r="K204" s="160"/>
      <c r="L204" s="158"/>
      <c r="M204" s="160"/>
      <c r="N204" s="163"/>
      <c r="O204" s="160"/>
      <c r="P204" s="158"/>
      <c r="Q204" s="160"/>
      <c r="R204" s="163"/>
      <c r="S204" s="160"/>
      <c r="T204" s="158"/>
      <c r="U204" s="160"/>
      <c r="V204" s="163"/>
      <c r="W204" s="160"/>
      <c r="X204" s="158"/>
      <c r="Y204" s="176"/>
      <c r="Z204" s="163"/>
      <c r="AA204" s="160"/>
      <c r="AB204" s="3"/>
      <c r="AC204" s="3"/>
    </row>
    <row r="205" spans="2:29" ht="30" customHeight="1" x14ac:dyDescent="0.3">
      <c r="B205" s="119"/>
      <c r="C205" s="150" t="s">
        <v>90</v>
      </c>
      <c r="D205" s="152" t="s">
        <v>190</v>
      </c>
      <c r="E205" s="9" t="s">
        <v>51</v>
      </c>
      <c r="F205" s="10">
        <v>3</v>
      </c>
      <c r="G205" s="186" t="s">
        <v>248</v>
      </c>
      <c r="H205" s="161"/>
      <c r="I205" s="159">
        <f>1.027*(($F205*$F206*H205)+(0.2*H205*$F207)+(0.1*$F208*H205))</f>
        <v>0</v>
      </c>
      <c r="J205" s="161">
        <v>0</v>
      </c>
      <c r="K205" s="159">
        <f>1.056*(($F205*$F206*J205)+(0.2*J205*$F207)+(0.1*$F208*J205))</f>
        <v>0</v>
      </c>
      <c r="L205" s="156">
        <v>0</v>
      </c>
      <c r="M205" s="159">
        <f>1.083*(($F205*$F206*L205)+(0.2*L205*$F207)+(0.1*$F208*L205))</f>
        <v>0</v>
      </c>
      <c r="N205" s="161">
        <v>0</v>
      </c>
      <c r="O205" s="159">
        <f>1.11*(($F205*$F206*N205)+(0.2*N205*$F207)+(0.1*$F208*N205))</f>
        <v>0</v>
      </c>
      <c r="P205" s="156">
        <v>0</v>
      </c>
      <c r="Q205" s="159">
        <f>1.14*(($F205*$F206*P205)+(0.2*P205*$F207)+(0.1*$F208*P205))</f>
        <v>0</v>
      </c>
      <c r="R205" s="161">
        <v>0</v>
      </c>
      <c r="S205" s="159">
        <f>1.172*(($F205*$F206*R205)+(0.2*R205*$F207)+(0.1*$F208*R205))</f>
        <v>0</v>
      </c>
      <c r="T205" s="156">
        <v>0</v>
      </c>
      <c r="U205" s="159">
        <f>1.206*(($F205*$F206*T205)+(0.2*T205*$F207)+(0.1*$F208*T205))</f>
        <v>0</v>
      </c>
      <c r="V205" s="161">
        <v>0</v>
      </c>
      <c r="W205" s="159">
        <f>1.242*(($F205*$F206*V205)+(0.2*V205*$F207)+(0.1*$F208*V205))</f>
        <v>0</v>
      </c>
      <c r="X205" s="156">
        <v>0</v>
      </c>
      <c r="Y205" s="175">
        <f>($F205*$F206*X205)+(0.2*X205*$F207)+(0.1*$F208*X205)</f>
        <v>0</v>
      </c>
      <c r="Z205" s="161"/>
      <c r="AA205" s="159">
        <f>($F205*$F206*Z205)+(0.2*Z205*$F207)+(0.1*$F208*Z205)</f>
        <v>0</v>
      </c>
      <c r="AB205" s="3"/>
      <c r="AC205" s="3"/>
    </row>
    <row r="206" spans="2:29" ht="30" customHeight="1" x14ac:dyDescent="0.3">
      <c r="B206" s="119"/>
      <c r="C206" s="151"/>
      <c r="D206" s="185"/>
      <c r="E206" s="11" t="s">
        <v>53</v>
      </c>
      <c r="F206" s="12">
        <f>$D$1*Rates!H39</f>
        <v>501.04800000000006</v>
      </c>
      <c r="G206" s="187"/>
      <c r="H206" s="162"/>
      <c r="I206" s="134"/>
      <c r="J206" s="162"/>
      <c r="K206" s="134"/>
      <c r="L206" s="157"/>
      <c r="M206" s="134"/>
      <c r="N206" s="162"/>
      <c r="O206" s="134"/>
      <c r="P206" s="157"/>
      <c r="Q206" s="134"/>
      <c r="R206" s="162"/>
      <c r="S206" s="134"/>
      <c r="T206" s="157"/>
      <c r="U206" s="134"/>
      <c r="V206" s="162"/>
      <c r="W206" s="134"/>
      <c r="X206" s="157"/>
      <c r="Y206" s="141"/>
      <c r="Z206" s="162"/>
      <c r="AA206" s="134"/>
      <c r="AB206" s="3"/>
      <c r="AC206" s="3"/>
    </row>
    <row r="207" spans="2:29" ht="30" customHeight="1" x14ac:dyDescent="0.3">
      <c r="B207" s="119"/>
      <c r="C207" s="151"/>
      <c r="D207" s="185"/>
      <c r="E207" s="11" t="s">
        <v>21</v>
      </c>
      <c r="F207" s="12">
        <f>$D$1*Rates!I39</f>
        <v>714.5100000000001</v>
      </c>
      <c r="G207" s="187"/>
      <c r="H207" s="162"/>
      <c r="I207" s="134"/>
      <c r="J207" s="162"/>
      <c r="K207" s="134"/>
      <c r="L207" s="157"/>
      <c r="M207" s="134"/>
      <c r="N207" s="162"/>
      <c r="O207" s="134"/>
      <c r="P207" s="157"/>
      <c r="Q207" s="134"/>
      <c r="R207" s="162"/>
      <c r="S207" s="134"/>
      <c r="T207" s="157"/>
      <c r="U207" s="134"/>
      <c r="V207" s="162"/>
      <c r="W207" s="134"/>
      <c r="X207" s="157"/>
      <c r="Y207" s="141"/>
      <c r="Z207" s="162"/>
      <c r="AA207" s="134"/>
      <c r="AB207" s="3"/>
      <c r="AC207" s="3"/>
    </row>
    <row r="208" spans="2:29" ht="30" customHeight="1" thickBot="1" x14ac:dyDescent="0.35">
      <c r="B208" s="119"/>
      <c r="C208" s="174"/>
      <c r="D208" s="170"/>
      <c r="E208" s="16" t="s">
        <v>22</v>
      </c>
      <c r="F208" s="12">
        <f>$D$1*Rates!J39</f>
        <v>962.0100000000001</v>
      </c>
      <c r="G208" s="188"/>
      <c r="H208" s="163"/>
      <c r="I208" s="160"/>
      <c r="J208" s="163"/>
      <c r="K208" s="160"/>
      <c r="L208" s="158"/>
      <c r="M208" s="160"/>
      <c r="N208" s="163"/>
      <c r="O208" s="160"/>
      <c r="P208" s="158"/>
      <c r="Q208" s="160"/>
      <c r="R208" s="163"/>
      <c r="S208" s="160"/>
      <c r="T208" s="158"/>
      <c r="U208" s="160"/>
      <c r="V208" s="163"/>
      <c r="W208" s="160"/>
      <c r="X208" s="158"/>
      <c r="Y208" s="176"/>
      <c r="Z208" s="163"/>
      <c r="AA208" s="160"/>
      <c r="AB208" s="3"/>
      <c r="AC208" s="3"/>
    </row>
    <row r="209" spans="2:29" ht="30" customHeight="1" x14ac:dyDescent="0.3">
      <c r="B209" s="119"/>
      <c r="C209" s="150" t="s">
        <v>91</v>
      </c>
      <c r="D209" s="152" t="s">
        <v>190</v>
      </c>
      <c r="E209" s="9" t="s">
        <v>51</v>
      </c>
      <c r="F209" s="10">
        <v>3</v>
      </c>
      <c r="G209" s="186" t="s">
        <v>249</v>
      </c>
      <c r="H209" s="161"/>
      <c r="I209" s="159">
        <f>1.027*(($F209*$F210*H209)+(0.2*H209*$F211)+(0.1*$F212*H209))</f>
        <v>0</v>
      </c>
      <c r="J209" s="161">
        <v>0</v>
      </c>
      <c r="K209" s="159">
        <f>1.056*(($F209*$F210*J209)+(0.2*J209*$F211)+(0.1*$F212*J209))</f>
        <v>0</v>
      </c>
      <c r="L209" s="156">
        <v>0</v>
      </c>
      <c r="M209" s="159">
        <f>1.083*(($F209*$F210*L209)+(0.2*L209*$F211)+(0.1*$F212*L209))</f>
        <v>0</v>
      </c>
      <c r="N209" s="161">
        <v>0</v>
      </c>
      <c r="O209" s="159">
        <f>1.11*(($F209*$F210*N209)+(0.2*N209*$F211)+(0.1*$F212*N209))</f>
        <v>0</v>
      </c>
      <c r="P209" s="156">
        <v>0</v>
      </c>
      <c r="Q209" s="159">
        <f>1.14*(($F209*$F210*P209)+(0.2*P209*$F211)+(0.1*$F212*P209))</f>
        <v>0</v>
      </c>
      <c r="R209" s="161">
        <v>0</v>
      </c>
      <c r="S209" s="159">
        <f>1.172*(($F209*$F210*R209)+(0.2*R209*$F211)+(0.1*$F212*R209))</f>
        <v>0</v>
      </c>
      <c r="T209" s="156">
        <v>0</v>
      </c>
      <c r="U209" s="159">
        <f>1.206*(($F209*$F210*T209)+(0.2*T209*$F211)+(0.1*$F212*T209))</f>
        <v>0</v>
      </c>
      <c r="V209" s="161">
        <v>0</v>
      </c>
      <c r="W209" s="159">
        <f>1.242*(($F209*$F210*V209)+(0.2*V209*$F211)+(0.1*$F212*V209))</f>
        <v>0</v>
      </c>
      <c r="X209" s="156">
        <v>0</v>
      </c>
      <c r="Y209" s="175">
        <f>($F209*$F210*X209)+(0.2*X209*$F211)+(0.1*$F212*X209)</f>
        <v>0</v>
      </c>
      <c r="Z209" s="161"/>
      <c r="AA209" s="159">
        <f>($F209*$F210*Z209)+(0.2*Z209*$F211)+(0.1*$F212*Z209)</f>
        <v>0</v>
      </c>
      <c r="AB209" s="3"/>
      <c r="AC209" s="3"/>
    </row>
    <row r="210" spans="2:29" ht="30" customHeight="1" x14ac:dyDescent="0.3">
      <c r="B210" s="119"/>
      <c r="C210" s="151"/>
      <c r="D210" s="185"/>
      <c r="E210" s="11" t="s">
        <v>53</v>
      </c>
      <c r="F210" s="12">
        <f>$D$1*Rates!H40</f>
        <v>501.04800000000006</v>
      </c>
      <c r="G210" s="187"/>
      <c r="H210" s="162"/>
      <c r="I210" s="134"/>
      <c r="J210" s="162"/>
      <c r="K210" s="134"/>
      <c r="L210" s="157"/>
      <c r="M210" s="134"/>
      <c r="N210" s="162"/>
      <c r="O210" s="134"/>
      <c r="P210" s="157"/>
      <c r="Q210" s="134"/>
      <c r="R210" s="162"/>
      <c r="S210" s="134"/>
      <c r="T210" s="157"/>
      <c r="U210" s="134"/>
      <c r="V210" s="162"/>
      <c r="W210" s="134"/>
      <c r="X210" s="157"/>
      <c r="Y210" s="141"/>
      <c r="Z210" s="162"/>
      <c r="AA210" s="134"/>
      <c r="AB210" s="3"/>
      <c r="AC210" s="3"/>
    </row>
    <row r="211" spans="2:29" ht="30" customHeight="1" x14ac:dyDescent="0.3">
      <c r="B211" s="119"/>
      <c r="C211" s="151"/>
      <c r="D211" s="185"/>
      <c r="E211" s="11" t="s">
        <v>21</v>
      </c>
      <c r="F211" s="12">
        <f>$D$1*Rates!I40</f>
        <v>714.5100000000001</v>
      </c>
      <c r="G211" s="187"/>
      <c r="H211" s="162"/>
      <c r="I211" s="134"/>
      <c r="J211" s="162"/>
      <c r="K211" s="134"/>
      <c r="L211" s="157"/>
      <c r="M211" s="134"/>
      <c r="N211" s="162"/>
      <c r="O211" s="134"/>
      <c r="P211" s="157"/>
      <c r="Q211" s="134"/>
      <c r="R211" s="162"/>
      <c r="S211" s="134"/>
      <c r="T211" s="157"/>
      <c r="U211" s="134"/>
      <c r="V211" s="162"/>
      <c r="W211" s="134"/>
      <c r="X211" s="157"/>
      <c r="Y211" s="141"/>
      <c r="Z211" s="162"/>
      <c r="AA211" s="134"/>
      <c r="AB211" s="3"/>
      <c r="AC211" s="3"/>
    </row>
    <row r="212" spans="2:29" ht="30" customHeight="1" thickBot="1" x14ac:dyDescent="0.35">
      <c r="B212" s="120"/>
      <c r="C212" s="174"/>
      <c r="D212" s="170"/>
      <c r="E212" s="16" t="s">
        <v>22</v>
      </c>
      <c r="F212" s="12">
        <f>$D$1*Rates!J40</f>
        <v>962.0100000000001</v>
      </c>
      <c r="G212" s="188"/>
      <c r="H212" s="163"/>
      <c r="I212" s="160"/>
      <c r="J212" s="163"/>
      <c r="K212" s="160"/>
      <c r="L212" s="158"/>
      <c r="M212" s="160"/>
      <c r="N212" s="163"/>
      <c r="O212" s="160"/>
      <c r="P212" s="158"/>
      <c r="Q212" s="160"/>
      <c r="R212" s="163"/>
      <c r="S212" s="160"/>
      <c r="T212" s="158"/>
      <c r="U212" s="160"/>
      <c r="V212" s="163"/>
      <c r="W212" s="160"/>
      <c r="X212" s="158"/>
      <c r="Y212" s="176"/>
      <c r="Z212" s="163"/>
      <c r="AA212" s="160"/>
      <c r="AB212" s="3"/>
      <c r="AC212" s="3"/>
    </row>
    <row r="213" spans="2:29" ht="60.75" customHeight="1" thickBot="1" x14ac:dyDescent="0.35">
      <c r="B213" s="118" t="s">
        <v>62</v>
      </c>
      <c r="C213" s="17" t="s">
        <v>102</v>
      </c>
      <c r="D213" s="18" t="s">
        <v>191</v>
      </c>
      <c r="E213" s="19" t="s">
        <v>63</v>
      </c>
      <c r="F213" s="20">
        <f>Rates!N75</f>
        <v>500</v>
      </c>
      <c r="G213" s="21" t="s">
        <v>250</v>
      </c>
      <c r="H213" s="22"/>
      <c r="I213" s="23">
        <f>1.027*((H213*$F$213)*12)</f>
        <v>0</v>
      </c>
      <c r="J213" s="22">
        <v>0</v>
      </c>
      <c r="K213" s="23">
        <f>1.056*((J213*$F$213)*12)</f>
        <v>0</v>
      </c>
      <c r="L213" s="24">
        <v>0</v>
      </c>
      <c r="M213" s="23">
        <f>1.083*((L213*$F$213)*12)</f>
        <v>0</v>
      </c>
      <c r="N213" s="22">
        <v>0</v>
      </c>
      <c r="O213" s="23">
        <f>1.11*((N213*$F$213)*12)</f>
        <v>0</v>
      </c>
      <c r="P213" s="24">
        <v>0</v>
      </c>
      <c r="Q213" s="23">
        <f>1.14*((P213*$F$213)*12)</f>
        <v>0</v>
      </c>
      <c r="R213" s="22">
        <v>0</v>
      </c>
      <c r="S213" s="23">
        <f>1.172*((R213*$F$213)*12)</f>
        <v>0</v>
      </c>
      <c r="T213" s="24">
        <v>0</v>
      </c>
      <c r="U213" s="23">
        <f>1.206*((T213*$F$213)*12)</f>
        <v>0</v>
      </c>
      <c r="V213" s="22">
        <v>0</v>
      </c>
      <c r="W213" s="23">
        <f>1.242*((V213*$F$213)*12)</f>
        <v>0</v>
      </c>
      <c r="X213" s="24">
        <v>0</v>
      </c>
      <c r="Y213" s="25">
        <f>(X213*$F$213)*12</f>
        <v>0</v>
      </c>
      <c r="Z213" s="22">
        <v>0</v>
      </c>
      <c r="AA213" s="23">
        <f>(Z213*$F$213)*12</f>
        <v>0</v>
      </c>
    </row>
    <row r="214" spans="2:29" ht="47.4" thickBot="1" x14ac:dyDescent="0.35">
      <c r="B214" s="119"/>
      <c r="C214" s="17" t="s">
        <v>90</v>
      </c>
      <c r="D214" s="18" t="s">
        <v>191</v>
      </c>
      <c r="E214" s="19" t="s">
        <v>63</v>
      </c>
      <c r="F214" s="20">
        <f>Rates!N76</f>
        <v>500</v>
      </c>
      <c r="G214" s="21" t="s">
        <v>251</v>
      </c>
      <c r="H214" s="22"/>
      <c r="I214" s="23">
        <f>1.027*((H214*$F$213)*12)</f>
        <v>0</v>
      </c>
      <c r="J214" s="22">
        <v>0</v>
      </c>
      <c r="K214" s="23">
        <f>1.056*((J214*$F$213)*12)</f>
        <v>0</v>
      </c>
      <c r="L214" s="24">
        <v>0</v>
      </c>
      <c r="M214" s="23">
        <f>1.083*((L214*$F$213)*12)</f>
        <v>0</v>
      </c>
      <c r="N214" s="22">
        <v>0</v>
      </c>
      <c r="O214" s="23">
        <f>1.11*((N214*$F$213)*12)</f>
        <v>0</v>
      </c>
      <c r="P214" s="24">
        <v>0</v>
      </c>
      <c r="Q214" s="23">
        <f>1.14*((P214*$F$213)*12)</f>
        <v>0</v>
      </c>
      <c r="R214" s="22">
        <v>0</v>
      </c>
      <c r="S214" s="23">
        <f>1.172*((R214*$F$213)*12)</f>
        <v>0</v>
      </c>
      <c r="T214" s="24">
        <v>0</v>
      </c>
      <c r="U214" s="23">
        <f>1.206*((T214*$F$213)*12)</f>
        <v>0</v>
      </c>
      <c r="V214" s="22">
        <v>0</v>
      </c>
      <c r="W214" s="23">
        <f>1.242*((V214*$F$213)*12)</f>
        <v>0</v>
      </c>
      <c r="X214" s="24">
        <v>0</v>
      </c>
      <c r="Y214" s="25">
        <f>(X214*$F$213)*12</f>
        <v>0</v>
      </c>
      <c r="Z214" s="22">
        <v>0</v>
      </c>
      <c r="AA214" s="23">
        <f>(Z214*$F$213)*12</f>
        <v>0</v>
      </c>
    </row>
    <row r="215" spans="2:29" ht="54" customHeight="1" thickBot="1" x14ac:dyDescent="0.35">
      <c r="B215" s="120"/>
      <c r="C215" s="17" t="s">
        <v>91</v>
      </c>
      <c r="D215" s="18" t="s">
        <v>191</v>
      </c>
      <c r="E215" s="19" t="s">
        <v>63</v>
      </c>
      <c r="F215" s="20">
        <f>Rates!N77</f>
        <v>500</v>
      </c>
      <c r="G215" s="21" t="s">
        <v>252</v>
      </c>
      <c r="H215" s="22"/>
      <c r="I215" s="23">
        <f>1.027*((H215*$F$213)*12)</f>
        <v>0</v>
      </c>
      <c r="J215" s="22">
        <v>0</v>
      </c>
      <c r="K215" s="23">
        <f>1.056*((J215*$F$213)*12)</f>
        <v>0</v>
      </c>
      <c r="L215" s="24">
        <v>0</v>
      </c>
      <c r="M215" s="23">
        <f>1.083*((L215*$F$213)*12)</f>
        <v>0</v>
      </c>
      <c r="N215" s="22">
        <v>0</v>
      </c>
      <c r="O215" s="23">
        <f>1.11*((N215*$F$213)*12)</f>
        <v>0</v>
      </c>
      <c r="P215" s="24">
        <v>0</v>
      </c>
      <c r="Q215" s="23">
        <f>1.14*((P215*$F$213)*12)</f>
        <v>0</v>
      </c>
      <c r="R215" s="22">
        <v>0</v>
      </c>
      <c r="S215" s="23">
        <f>1.172*((R215*$F$213)*12)</f>
        <v>0</v>
      </c>
      <c r="T215" s="24">
        <v>0</v>
      </c>
      <c r="U215" s="23">
        <f>1.206*((T215*$F$213)*12)</f>
        <v>0</v>
      </c>
      <c r="V215" s="22">
        <v>0</v>
      </c>
      <c r="W215" s="23">
        <f>1.242*((V215*$F$213)*12)</f>
        <v>0</v>
      </c>
      <c r="X215" s="24">
        <v>0</v>
      </c>
      <c r="Y215" s="25">
        <f>(X215*$F$213)*12</f>
        <v>0</v>
      </c>
      <c r="Z215" s="22">
        <v>0</v>
      </c>
      <c r="AA215" s="23">
        <f>(Z215*$F$213)*12</f>
        <v>0</v>
      </c>
    </row>
    <row r="216" spans="2:29" ht="30" customHeight="1" x14ac:dyDescent="0.3">
      <c r="B216" s="118" t="s">
        <v>58</v>
      </c>
      <c r="C216" s="121" t="s">
        <v>102</v>
      </c>
      <c r="D216" s="123" t="s">
        <v>192</v>
      </c>
      <c r="E216" s="125" t="s">
        <v>59</v>
      </c>
      <c r="F216" s="127">
        <f>$D$1*Rates!N69</f>
        <v>700</v>
      </c>
      <c r="G216" s="129" t="s">
        <v>253</v>
      </c>
      <c r="H216" s="112"/>
      <c r="I216" s="114">
        <f>1.027*(H216*$F216)</f>
        <v>0</v>
      </c>
      <c r="J216" s="112">
        <v>0</v>
      </c>
      <c r="K216" s="114">
        <f>1.056*(J216*$F216)</f>
        <v>0</v>
      </c>
      <c r="L216" s="112">
        <v>0</v>
      </c>
      <c r="M216" s="114">
        <f>1.083*(L216*$F216)</f>
        <v>0</v>
      </c>
      <c r="N216" s="112">
        <v>0</v>
      </c>
      <c r="O216" s="114">
        <f>1.11*(N216*$F216)</f>
        <v>0</v>
      </c>
      <c r="P216" s="112">
        <v>0</v>
      </c>
      <c r="Q216" s="114">
        <f>1.14*(P216*$F216)</f>
        <v>0</v>
      </c>
      <c r="R216" s="112">
        <v>0</v>
      </c>
      <c r="S216" s="114">
        <f>1.172*(R216*$F216)</f>
        <v>0</v>
      </c>
      <c r="T216" s="112">
        <v>0</v>
      </c>
      <c r="U216" s="114">
        <f>1.206*(T216*$F216)</f>
        <v>0</v>
      </c>
      <c r="V216" s="112">
        <v>0</v>
      </c>
      <c r="W216" s="114">
        <f>1.242*(V216*$F216)</f>
        <v>0</v>
      </c>
      <c r="X216" s="112">
        <v>0</v>
      </c>
      <c r="Y216" s="114">
        <f>(X216*$F216)</f>
        <v>0</v>
      </c>
      <c r="Z216" s="112">
        <v>0</v>
      </c>
      <c r="AA216" s="114">
        <f>(Z216*$F216)</f>
        <v>0</v>
      </c>
    </row>
    <row r="217" spans="2:29" ht="30" customHeight="1" thickBot="1" x14ac:dyDescent="0.35">
      <c r="B217" s="131"/>
      <c r="C217" s="122"/>
      <c r="D217" s="124"/>
      <c r="E217" s="126"/>
      <c r="F217" s="128"/>
      <c r="G217" s="130"/>
      <c r="H217" s="113"/>
      <c r="I217" s="115"/>
      <c r="J217" s="113"/>
      <c r="K217" s="115"/>
      <c r="L217" s="113"/>
      <c r="M217" s="115"/>
      <c r="N217" s="113"/>
      <c r="O217" s="115"/>
      <c r="P217" s="113"/>
      <c r="Q217" s="115"/>
      <c r="R217" s="113"/>
      <c r="S217" s="115"/>
      <c r="T217" s="113"/>
      <c r="U217" s="115"/>
      <c r="V217" s="113"/>
      <c r="W217" s="115"/>
      <c r="X217" s="113"/>
      <c r="Y217" s="115"/>
      <c r="Z217" s="113"/>
      <c r="AA217" s="115"/>
    </row>
    <row r="218" spans="2:29" ht="30" customHeight="1" x14ac:dyDescent="0.3">
      <c r="B218" s="131"/>
      <c r="C218" s="121" t="s">
        <v>90</v>
      </c>
      <c r="D218" s="123" t="s">
        <v>192</v>
      </c>
      <c r="E218" s="125" t="s">
        <v>59</v>
      </c>
      <c r="F218" s="127">
        <f>$D$1*Rates!N70</f>
        <v>1000</v>
      </c>
      <c r="G218" s="129" t="s">
        <v>254</v>
      </c>
      <c r="H218" s="112"/>
      <c r="I218" s="114">
        <f>1.027*(H218*$F218)</f>
        <v>0</v>
      </c>
      <c r="J218" s="112">
        <v>0</v>
      </c>
      <c r="K218" s="114">
        <f>1.056*(J218*$F218)</f>
        <v>0</v>
      </c>
      <c r="L218" s="112">
        <v>0</v>
      </c>
      <c r="M218" s="114">
        <f>1.083*(L218*$F218)</f>
        <v>0</v>
      </c>
      <c r="N218" s="112">
        <v>0</v>
      </c>
      <c r="O218" s="114">
        <f>1.11*(N218*$F218)</f>
        <v>0</v>
      </c>
      <c r="P218" s="112">
        <v>0</v>
      </c>
      <c r="Q218" s="114">
        <f>1.14*(P218*$F218)</f>
        <v>0</v>
      </c>
      <c r="R218" s="112">
        <v>0</v>
      </c>
      <c r="S218" s="114">
        <f>1.172*(R218*$F218)</f>
        <v>0</v>
      </c>
      <c r="T218" s="112">
        <v>0</v>
      </c>
      <c r="U218" s="114">
        <f>1.206*(T218*$F218)</f>
        <v>0</v>
      </c>
      <c r="V218" s="112">
        <v>0</v>
      </c>
      <c r="W218" s="114">
        <f>1.242*(V218*$F218)</f>
        <v>0</v>
      </c>
      <c r="X218" s="112">
        <v>0</v>
      </c>
      <c r="Y218" s="114">
        <f>(X218*$F218)</f>
        <v>0</v>
      </c>
      <c r="Z218" s="112">
        <v>0</v>
      </c>
      <c r="AA218" s="114">
        <f>(Z218*$F218)</f>
        <v>0</v>
      </c>
    </row>
    <row r="219" spans="2:29" ht="30" customHeight="1" thickBot="1" x14ac:dyDescent="0.35">
      <c r="B219" s="131"/>
      <c r="C219" s="122"/>
      <c r="D219" s="124"/>
      <c r="E219" s="126"/>
      <c r="F219" s="128"/>
      <c r="G219" s="130"/>
      <c r="H219" s="113"/>
      <c r="I219" s="115"/>
      <c r="J219" s="113"/>
      <c r="K219" s="115"/>
      <c r="L219" s="113"/>
      <c r="M219" s="115"/>
      <c r="N219" s="113"/>
      <c r="O219" s="115"/>
      <c r="P219" s="113"/>
      <c r="Q219" s="115"/>
      <c r="R219" s="113"/>
      <c r="S219" s="115"/>
      <c r="T219" s="113"/>
      <c r="U219" s="115"/>
      <c r="V219" s="113"/>
      <c r="W219" s="115"/>
      <c r="X219" s="113"/>
      <c r="Y219" s="115"/>
      <c r="Z219" s="113"/>
      <c r="AA219" s="115"/>
    </row>
    <row r="220" spans="2:29" ht="30" customHeight="1" x14ac:dyDescent="0.3">
      <c r="B220" s="131"/>
      <c r="C220" s="121" t="s">
        <v>91</v>
      </c>
      <c r="D220" s="123" t="s">
        <v>192</v>
      </c>
      <c r="E220" s="125" t="s">
        <v>59</v>
      </c>
      <c r="F220" s="127">
        <f>$D$1*Rates!N71</f>
        <v>1200</v>
      </c>
      <c r="G220" s="129" t="s">
        <v>255</v>
      </c>
      <c r="H220" s="112"/>
      <c r="I220" s="114">
        <f>1.027*(H220*$F220)</f>
        <v>0</v>
      </c>
      <c r="J220" s="112">
        <v>0</v>
      </c>
      <c r="K220" s="114">
        <f>1.056*(J220*$F220)</f>
        <v>0</v>
      </c>
      <c r="L220" s="112">
        <v>0</v>
      </c>
      <c r="M220" s="114">
        <f>1.083*(L220*$F220)</f>
        <v>0</v>
      </c>
      <c r="N220" s="112">
        <v>0</v>
      </c>
      <c r="O220" s="114">
        <f>1.11*(N220*$F220)</f>
        <v>0</v>
      </c>
      <c r="P220" s="112">
        <v>0</v>
      </c>
      <c r="Q220" s="114">
        <f>1.14*(P220*$F220)</f>
        <v>0</v>
      </c>
      <c r="R220" s="112">
        <v>0</v>
      </c>
      <c r="S220" s="114">
        <f>1.172*(R220*$F220)</f>
        <v>0</v>
      </c>
      <c r="T220" s="112">
        <v>0</v>
      </c>
      <c r="U220" s="114">
        <f>1.206*(T220*$F220)</f>
        <v>0</v>
      </c>
      <c r="V220" s="112">
        <v>0</v>
      </c>
      <c r="W220" s="114">
        <f>1.242*(V220*$F220)</f>
        <v>0</v>
      </c>
      <c r="X220" s="112">
        <v>0</v>
      </c>
      <c r="Y220" s="114">
        <f>(X220*$F220)</f>
        <v>0</v>
      </c>
      <c r="Z220" s="112">
        <v>0</v>
      </c>
      <c r="AA220" s="114">
        <f>(Z220*$F220)</f>
        <v>0</v>
      </c>
    </row>
    <row r="221" spans="2:29" ht="30" customHeight="1" thickBot="1" x14ac:dyDescent="0.35">
      <c r="B221" s="132"/>
      <c r="C221" s="122"/>
      <c r="D221" s="124"/>
      <c r="E221" s="126"/>
      <c r="F221" s="128"/>
      <c r="G221" s="130"/>
      <c r="H221" s="113"/>
      <c r="I221" s="115"/>
      <c r="J221" s="113"/>
      <c r="K221" s="115"/>
      <c r="L221" s="113"/>
      <c r="M221" s="115"/>
      <c r="N221" s="113"/>
      <c r="O221" s="115"/>
      <c r="P221" s="113"/>
      <c r="Q221" s="115"/>
      <c r="R221" s="113"/>
      <c r="S221" s="115"/>
      <c r="T221" s="113"/>
      <c r="U221" s="115"/>
      <c r="V221" s="113"/>
      <c r="W221" s="115"/>
      <c r="X221" s="113"/>
      <c r="Y221" s="115"/>
      <c r="Z221" s="113"/>
      <c r="AA221" s="115"/>
    </row>
    <row r="222" spans="2:29" ht="30" customHeight="1" x14ac:dyDescent="0.3">
      <c r="B222" s="118" t="s">
        <v>60</v>
      </c>
      <c r="C222" s="121" t="s">
        <v>102</v>
      </c>
      <c r="D222" s="123" t="s">
        <v>256</v>
      </c>
      <c r="E222" s="125" t="s">
        <v>259</v>
      </c>
      <c r="F222" s="127">
        <f>$D$1*Rates!N72</f>
        <v>4488</v>
      </c>
      <c r="G222" s="129" t="s">
        <v>61</v>
      </c>
      <c r="H222" s="112"/>
      <c r="I222" s="114">
        <f>1.027*(H222*$F222)</f>
        <v>0</v>
      </c>
      <c r="J222" s="112">
        <v>0</v>
      </c>
      <c r="K222" s="114">
        <f>1.056*(J222*$F222)</f>
        <v>0</v>
      </c>
      <c r="L222" s="112">
        <v>0</v>
      </c>
      <c r="M222" s="114">
        <f>1.083*(L222*$F222)</f>
        <v>0</v>
      </c>
      <c r="N222" s="112">
        <v>0</v>
      </c>
      <c r="O222" s="114">
        <f>1.11*(N222*$F222)</f>
        <v>0</v>
      </c>
      <c r="P222" s="112">
        <v>0</v>
      </c>
      <c r="Q222" s="114">
        <f>1.14*(P222*$F222)</f>
        <v>0</v>
      </c>
      <c r="R222" s="112">
        <v>0</v>
      </c>
      <c r="S222" s="114">
        <f>1.172*(R222*$F222)</f>
        <v>0</v>
      </c>
      <c r="T222" s="112">
        <v>0</v>
      </c>
      <c r="U222" s="114">
        <f>1.206*(T222*$F222)</f>
        <v>0</v>
      </c>
      <c r="V222" s="112">
        <v>0</v>
      </c>
      <c r="W222" s="114">
        <f>1.242*(V222*$F222)</f>
        <v>0</v>
      </c>
      <c r="X222" s="112">
        <v>0</v>
      </c>
      <c r="Y222" s="114">
        <f>(X222*$F222)</f>
        <v>0</v>
      </c>
      <c r="Z222" s="112">
        <v>0</v>
      </c>
      <c r="AA222" s="114">
        <f>(Z222*$F222)</f>
        <v>0</v>
      </c>
    </row>
    <row r="223" spans="2:29" ht="119.25" customHeight="1" thickBot="1" x14ac:dyDescent="0.35">
      <c r="B223" s="119"/>
      <c r="C223" s="122"/>
      <c r="D223" s="124"/>
      <c r="E223" s="126"/>
      <c r="F223" s="128"/>
      <c r="G223" s="130"/>
      <c r="H223" s="113"/>
      <c r="I223" s="115"/>
      <c r="J223" s="113"/>
      <c r="K223" s="115"/>
      <c r="L223" s="113"/>
      <c r="M223" s="115"/>
      <c r="N223" s="113"/>
      <c r="O223" s="115"/>
      <c r="P223" s="113"/>
      <c r="Q223" s="115"/>
      <c r="R223" s="113"/>
      <c r="S223" s="115"/>
      <c r="T223" s="113"/>
      <c r="U223" s="115"/>
      <c r="V223" s="113"/>
      <c r="W223" s="115"/>
      <c r="X223" s="113"/>
      <c r="Y223" s="115"/>
      <c r="Z223" s="113"/>
      <c r="AA223" s="115"/>
    </row>
    <row r="224" spans="2:29" ht="30" customHeight="1" x14ac:dyDescent="0.3">
      <c r="B224" s="119"/>
      <c r="C224" s="121" t="s">
        <v>90</v>
      </c>
      <c r="D224" s="123" t="s">
        <v>257</v>
      </c>
      <c r="E224" s="125" t="s">
        <v>260</v>
      </c>
      <c r="F224" s="127">
        <f>$D$1*Rates!N73</f>
        <v>3590.4</v>
      </c>
      <c r="G224" s="129" t="s">
        <v>61</v>
      </c>
      <c r="H224" s="112"/>
      <c r="I224" s="114">
        <f>1.027*(H224*$F224)</f>
        <v>0</v>
      </c>
      <c r="J224" s="112">
        <v>0</v>
      </c>
      <c r="K224" s="114">
        <f>1.056*(J224*$F224)</f>
        <v>0</v>
      </c>
      <c r="L224" s="112">
        <v>0</v>
      </c>
      <c r="M224" s="114">
        <f>1.083*(L224*$F224)</f>
        <v>0</v>
      </c>
      <c r="N224" s="112">
        <v>0</v>
      </c>
      <c r="O224" s="114">
        <f>1.11*(N224*$F224)</f>
        <v>0</v>
      </c>
      <c r="P224" s="112">
        <v>0</v>
      </c>
      <c r="Q224" s="114">
        <f>1.14*(P224*$F224)</f>
        <v>0</v>
      </c>
      <c r="R224" s="112">
        <v>0</v>
      </c>
      <c r="S224" s="114">
        <f>1.172*(R224*$F224)</f>
        <v>0</v>
      </c>
      <c r="T224" s="112">
        <v>0</v>
      </c>
      <c r="U224" s="114">
        <f>1.206*(T224*$F224)</f>
        <v>0</v>
      </c>
      <c r="V224" s="112">
        <v>0</v>
      </c>
      <c r="W224" s="114">
        <f>1.242*(V224*$F224)</f>
        <v>0</v>
      </c>
      <c r="X224" s="112">
        <v>0</v>
      </c>
      <c r="Y224" s="114">
        <f>(X224*$F224)</f>
        <v>0</v>
      </c>
      <c r="Z224" s="112">
        <v>0</v>
      </c>
      <c r="AA224" s="114">
        <f>(Z224*$F224)</f>
        <v>0</v>
      </c>
    </row>
    <row r="225" spans="2:27" ht="99.75" customHeight="1" thickBot="1" x14ac:dyDescent="0.35">
      <c r="B225" s="119"/>
      <c r="C225" s="122"/>
      <c r="D225" s="124"/>
      <c r="E225" s="126"/>
      <c r="F225" s="128"/>
      <c r="G225" s="130"/>
      <c r="H225" s="113"/>
      <c r="I225" s="115"/>
      <c r="J225" s="113"/>
      <c r="K225" s="115"/>
      <c r="L225" s="113"/>
      <c r="M225" s="115"/>
      <c r="N225" s="113"/>
      <c r="O225" s="115"/>
      <c r="P225" s="113"/>
      <c r="Q225" s="115"/>
      <c r="R225" s="113"/>
      <c r="S225" s="115"/>
      <c r="T225" s="113"/>
      <c r="U225" s="115"/>
      <c r="V225" s="113"/>
      <c r="W225" s="115"/>
      <c r="X225" s="113"/>
      <c r="Y225" s="115"/>
      <c r="Z225" s="113"/>
      <c r="AA225" s="115"/>
    </row>
    <row r="226" spans="2:27" ht="30" customHeight="1" x14ac:dyDescent="0.3">
      <c r="B226" s="119"/>
      <c r="C226" s="121" t="s">
        <v>91</v>
      </c>
      <c r="D226" s="123" t="s">
        <v>258</v>
      </c>
      <c r="E226" s="125" t="s">
        <v>261</v>
      </c>
      <c r="F226" s="127">
        <f>$D$1*Rates!N74</f>
        <v>3231.36</v>
      </c>
      <c r="G226" s="129" t="s">
        <v>61</v>
      </c>
      <c r="H226" s="112"/>
      <c r="I226" s="114">
        <f>1.027*(H226*$F226)</f>
        <v>0</v>
      </c>
      <c r="J226" s="112">
        <v>0</v>
      </c>
      <c r="K226" s="114">
        <f>1.056*(J226*$F226)</f>
        <v>0</v>
      </c>
      <c r="L226" s="112">
        <v>0</v>
      </c>
      <c r="M226" s="114">
        <f>1.083*(L226*$F226)</f>
        <v>0</v>
      </c>
      <c r="N226" s="112">
        <v>0</v>
      </c>
      <c r="O226" s="114">
        <f>1.11*(N226*$F226)</f>
        <v>0</v>
      </c>
      <c r="P226" s="112">
        <v>0</v>
      </c>
      <c r="Q226" s="114">
        <f>1.14*(P226*$F226)</f>
        <v>0</v>
      </c>
      <c r="R226" s="112">
        <v>0</v>
      </c>
      <c r="S226" s="114">
        <f>1.172*(R226*$F226)</f>
        <v>0</v>
      </c>
      <c r="T226" s="112">
        <v>0</v>
      </c>
      <c r="U226" s="114">
        <f>1.206*(T226*$F226)</f>
        <v>0</v>
      </c>
      <c r="V226" s="112">
        <v>0</v>
      </c>
      <c r="W226" s="114">
        <f>1.242*(V226*$F226)</f>
        <v>0</v>
      </c>
      <c r="X226" s="112">
        <v>0</v>
      </c>
      <c r="Y226" s="114">
        <f>(X226*$F226)</f>
        <v>0</v>
      </c>
      <c r="Z226" s="112">
        <v>0</v>
      </c>
      <c r="AA226" s="114">
        <f>(Z226*$F226)</f>
        <v>0</v>
      </c>
    </row>
    <row r="227" spans="2:27" ht="95.25" customHeight="1" thickBot="1" x14ac:dyDescent="0.35">
      <c r="B227" s="120"/>
      <c r="C227" s="122"/>
      <c r="D227" s="124"/>
      <c r="E227" s="126"/>
      <c r="F227" s="128"/>
      <c r="G227" s="130"/>
      <c r="H227" s="113"/>
      <c r="I227" s="115"/>
      <c r="J227" s="113"/>
      <c r="K227" s="115"/>
      <c r="L227" s="113"/>
      <c r="M227" s="115"/>
      <c r="N227" s="113"/>
      <c r="O227" s="115"/>
      <c r="P227" s="113"/>
      <c r="Q227" s="115"/>
      <c r="R227" s="113"/>
      <c r="S227" s="115"/>
      <c r="T227" s="113"/>
      <c r="U227" s="115"/>
      <c r="V227" s="113"/>
      <c r="W227" s="115"/>
      <c r="X227" s="113"/>
      <c r="Y227" s="115"/>
      <c r="Z227" s="113"/>
      <c r="AA227" s="115"/>
    </row>
    <row r="228" spans="2:27" ht="30" customHeight="1" x14ac:dyDescent="0.3">
      <c r="B228" s="118" t="s">
        <v>64</v>
      </c>
      <c r="C228" s="179" t="s">
        <v>102</v>
      </c>
      <c r="D228" s="181" t="s">
        <v>193</v>
      </c>
      <c r="E228" s="9" t="s">
        <v>65</v>
      </c>
      <c r="F228" s="101">
        <f>Rates!N48</f>
        <v>0.01</v>
      </c>
      <c r="G228" s="183" t="s">
        <v>66</v>
      </c>
      <c r="H228" s="112"/>
      <c r="I228" s="166">
        <f>1.027*((H228*$F228*$F229)+(H229*$F229))</f>
        <v>0</v>
      </c>
      <c r="J228" s="112">
        <v>0</v>
      </c>
      <c r="K228" s="166">
        <f>1.056*((J228*$F228*$F229)+(J229*$F229))</f>
        <v>0</v>
      </c>
      <c r="L228" s="112">
        <v>0</v>
      </c>
      <c r="M228" s="166">
        <f>1.083*((L228*$F228*$F229)+(L229*$F229))</f>
        <v>0</v>
      </c>
      <c r="N228" s="112">
        <v>0</v>
      </c>
      <c r="O228" s="166">
        <f>1.11*((N228*$F228*$F229)+(N229*$F229))</f>
        <v>0</v>
      </c>
      <c r="P228" s="112">
        <v>0</v>
      </c>
      <c r="Q228" s="166">
        <f>1.14*((P228*$F228*$F229)+(P229*$F229))</f>
        <v>0</v>
      </c>
      <c r="R228" s="112">
        <v>0</v>
      </c>
      <c r="S228" s="166">
        <f>1.172*((R228*$F228*$F229)+(R229*$F229))</f>
        <v>0</v>
      </c>
      <c r="T228" s="112">
        <v>0</v>
      </c>
      <c r="U228" s="166">
        <f>1.206*((T228*$F228*$F229)+(T229*$F229))</f>
        <v>0</v>
      </c>
      <c r="V228" s="112">
        <v>0</v>
      </c>
      <c r="W228" s="166">
        <f>1.242*((V228*$F228*$F229)+(V229*$F229))</f>
        <v>0</v>
      </c>
      <c r="X228" s="112">
        <v>0</v>
      </c>
      <c r="Y228" s="177">
        <f>(X228*$F228*$F229)+(X229*$F229)*1.242</f>
        <v>0</v>
      </c>
      <c r="Z228" s="112">
        <v>0</v>
      </c>
      <c r="AA228" s="177">
        <f>(Z228*$F228*$F229)+(Z229*$F229)*1.281</f>
        <v>0</v>
      </c>
    </row>
    <row r="229" spans="2:27" ht="45" customHeight="1" thickBot="1" x14ac:dyDescent="0.35">
      <c r="B229" s="119"/>
      <c r="C229" s="180"/>
      <c r="D229" s="182"/>
      <c r="E229" s="14" t="s">
        <v>67</v>
      </c>
      <c r="F229" s="102">
        <f>Rates!O48</f>
        <v>4085</v>
      </c>
      <c r="G229" s="184"/>
      <c r="H229" s="113"/>
      <c r="I229" s="167"/>
      <c r="J229" s="113"/>
      <c r="K229" s="167"/>
      <c r="L229" s="113"/>
      <c r="M229" s="167"/>
      <c r="N229" s="113"/>
      <c r="O229" s="167"/>
      <c r="P229" s="113"/>
      <c r="Q229" s="167"/>
      <c r="R229" s="113"/>
      <c r="S229" s="167"/>
      <c r="T229" s="113"/>
      <c r="U229" s="167"/>
      <c r="V229" s="113"/>
      <c r="W229" s="167"/>
      <c r="X229" s="113"/>
      <c r="Y229" s="178"/>
      <c r="Z229" s="113"/>
      <c r="AA229" s="178"/>
    </row>
    <row r="230" spans="2:27" ht="30" customHeight="1" x14ac:dyDescent="0.3">
      <c r="B230" s="119"/>
      <c r="C230" s="179" t="s">
        <v>90</v>
      </c>
      <c r="D230" s="181" t="s">
        <v>194</v>
      </c>
      <c r="E230" s="9" t="s">
        <v>65</v>
      </c>
      <c r="F230" s="101">
        <f>Rates!N49</f>
        <v>0.02</v>
      </c>
      <c r="G230" s="183" t="s">
        <v>66</v>
      </c>
      <c r="H230" s="112"/>
      <c r="I230" s="166">
        <f>1.027*((H230*$F230*$F231)+(H231*$F231))</f>
        <v>0</v>
      </c>
      <c r="J230" s="112">
        <v>0</v>
      </c>
      <c r="K230" s="166">
        <f>1.056*((J230*$F230*$F231)+(J231*$F231))</f>
        <v>0</v>
      </c>
      <c r="L230" s="112">
        <v>0</v>
      </c>
      <c r="M230" s="166">
        <f>1.083*((L230*$F230*$F231)+(L231*$F231))</f>
        <v>0</v>
      </c>
      <c r="N230" s="112">
        <v>0</v>
      </c>
      <c r="O230" s="166">
        <f>1.11*((N230*$F230*$F231)+(N231*$F231))</f>
        <v>0</v>
      </c>
      <c r="P230" s="112">
        <v>0</v>
      </c>
      <c r="Q230" s="166">
        <f>1.14*((P230*$F230*$F231)+(P231*$F231))</f>
        <v>0</v>
      </c>
      <c r="R230" s="112">
        <v>0</v>
      </c>
      <c r="S230" s="166">
        <f>1.172*((R230*$F230*$F231)+(R231*$F231))</f>
        <v>0</v>
      </c>
      <c r="T230" s="112">
        <v>0</v>
      </c>
      <c r="U230" s="166">
        <f>1.206*((T230*$F230*$F231)+(T231*$F231))</f>
        <v>0</v>
      </c>
      <c r="V230" s="112">
        <v>0</v>
      </c>
      <c r="W230" s="166">
        <f>1.242*((V230*$F230*$F231)+(V231*$F231))</f>
        <v>0</v>
      </c>
      <c r="X230" s="112">
        <v>0</v>
      </c>
      <c r="Y230" s="177">
        <f>(X230*$F230*$F231)+(X231*$F231)*1.242</f>
        <v>0</v>
      </c>
      <c r="Z230" s="112">
        <v>0</v>
      </c>
      <c r="AA230" s="177">
        <f>(Z230*$F230*$F231)+(Z231*$F231)*1.281</f>
        <v>0</v>
      </c>
    </row>
    <row r="231" spans="2:27" ht="51.75" customHeight="1" thickBot="1" x14ac:dyDescent="0.35">
      <c r="B231" s="119"/>
      <c r="C231" s="180"/>
      <c r="D231" s="182"/>
      <c r="E231" s="14" t="s">
        <v>67</v>
      </c>
      <c r="F231" s="102">
        <f>Rates!O49</f>
        <v>4085</v>
      </c>
      <c r="G231" s="184"/>
      <c r="H231" s="113"/>
      <c r="I231" s="167"/>
      <c r="J231" s="113"/>
      <c r="K231" s="167"/>
      <c r="L231" s="113"/>
      <c r="M231" s="167"/>
      <c r="N231" s="113"/>
      <c r="O231" s="167"/>
      <c r="P231" s="113"/>
      <c r="Q231" s="167"/>
      <c r="R231" s="113"/>
      <c r="S231" s="167"/>
      <c r="T231" s="113"/>
      <c r="U231" s="167"/>
      <c r="V231" s="113"/>
      <c r="W231" s="167"/>
      <c r="X231" s="113"/>
      <c r="Y231" s="178"/>
      <c r="Z231" s="113"/>
      <c r="AA231" s="178"/>
    </row>
    <row r="232" spans="2:27" ht="30" customHeight="1" x14ac:dyDescent="0.3">
      <c r="B232" s="119"/>
      <c r="C232" s="179" t="s">
        <v>91</v>
      </c>
      <c r="D232" s="181" t="s">
        <v>193</v>
      </c>
      <c r="E232" s="9" t="s">
        <v>65</v>
      </c>
      <c r="F232" s="101">
        <f>Rates!N50</f>
        <v>0.01</v>
      </c>
      <c r="G232" s="183" t="s">
        <v>66</v>
      </c>
      <c r="H232" s="112"/>
      <c r="I232" s="166">
        <f>1.027*((H232*$F232*$F233)+(H233*$F233))</f>
        <v>0</v>
      </c>
      <c r="J232" s="112">
        <v>0</v>
      </c>
      <c r="K232" s="166">
        <f>1.056*((J232*$F232*$F233)+(J233*$F233))</f>
        <v>0</v>
      </c>
      <c r="L232" s="112">
        <v>0</v>
      </c>
      <c r="M232" s="166">
        <f>1.083*((L232*$F232*$F233)+(L233*$F233))</f>
        <v>0</v>
      </c>
      <c r="N232" s="112">
        <v>0</v>
      </c>
      <c r="O232" s="166">
        <f>1.11*((N232*$F232*$F233)+(N233*$F233))</f>
        <v>0</v>
      </c>
      <c r="P232" s="112">
        <v>0</v>
      </c>
      <c r="Q232" s="166">
        <f>1.14*((P232*$F232*$F233)+(P233*$F233))</f>
        <v>0</v>
      </c>
      <c r="R232" s="112">
        <v>0</v>
      </c>
      <c r="S232" s="166">
        <f>1.172*((R232*$F232*$F233)+(R233*$F233))</f>
        <v>0</v>
      </c>
      <c r="T232" s="112">
        <v>0</v>
      </c>
      <c r="U232" s="166">
        <f>1.206*((T232*$F232*$F233)+(T233*$F233))</f>
        <v>0</v>
      </c>
      <c r="V232" s="112">
        <v>0</v>
      </c>
      <c r="W232" s="166">
        <f>1.242*((V232*$F232*$F233)+(V233*$F233))</f>
        <v>0</v>
      </c>
      <c r="X232" s="112">
        <v>0</v>
      </c>
      <c r="Y232" s="177">
        <f>(X232*$F232*$F233)+(X233*$F233)*1.242</f>
        <v>0</v>
      </c>
      <c r="Z232" s="112">
        <v>0</v>
      </c>
      <c r="AA232" s="177">
        <f>(Z232*$F232*$F233)+(Z233*$F233)*1.281</f>
        <v>0</v>
      </c>
    </row>
    <row r="233" spans="2:27" ht="45" customHeight="1" thickBot="1" x14ac:dyDescent="0.35">
      <c r="B233" s="120"/>
      <c r="C233" s="180"/>
      <c r="D233" s="182"/>
      <c r="E233" s="14" t="s">
        <v>67</v>
      </c>
      <c r="F233" s="102">
        <f>Rates!O50</f>
        <v>4085</v>
      </c>
      <c r="G233" s="184"/>
      <c r="H233" s="113"/>
      <c r="I233" s="167"/>
      <c r="J233" s="113"/>
      <c r="K233" s="167"/>
      <c r="L233" s="113"/>
      <c r="M233" s="167"/>
      <c r="N233" s="113"/>
      <c r="O233" s="167"/>
      <c r="P233" s="113"/>
      <c r="Q233" s="167"/>
      <c r="R233" s="113"/>
      <c r="S233" s="167"/>
      <c r="T233" s="113"/>
      <c r="U233" s="167"/>
      <c r="V233" s="113"/>
      <c r="W233" s="167"/>
      <c r="X233" s="113"/>
      <c r="Y233" s="178"/>
      <c r="Z233" s="113"/>
      <c r="AA233" s="178"/>
    </row>
    <row r="234" spans="2:27" ht="30" customHeight="1" x14ac:dyDescent="0.3">
      <c r="B234" s="118" t="s">
        <v>99</v>
      </c>
      <c r="C234" s="150" t="s">
        <v>102</v>
      </c>
      <c r="D234" s="152" t="s">
        <v>195</v>
      </c>
      <c r="E234" s="9" t="s">
        <v>68</v>
      </c>
      <c r="F234" s="101">
        <f>Rates!N51</f>
        <v>5.0000000000000001E-3</v>
      </c>
      <c r="G234" s="171" t="s">
        <v>69</v>
      </c>
      <c r="H234" s="161"/>
      <c r="I234" s="133">
        <f>1.027*(H234*$F234*$F235)</f>
        <v>0</v>
      </c>
      <c r="J234" s="161">
        <v>0</v>
      </c>
      <c r="K234" s="166">
        <f>1.056*((J234*$F234*$F235)+(J235*$F235))</f>
        <v>0</v>
      </c>
      <c r="L234" s="156">
        <v>0</v>
      </c>
      <c r="M234" s="166">
        <f>1.083*((L234*$F234*$F235)+(L235*$F235))</f>
        <v>0</v>
      </c>
      <c r="N234" s="161">
        <v>0</v>
      </c>
      <c r="O234" s="166">
        <f>1.11*((N234*$F234*$F235)+(N235*$F235))</f>
        <v>0</v>
      </c>
      <c r="P234" s="156">
        <v>0</v>
      </c>
      <c r="Q234" s="166">
        <f>1.14*((P234*$F234*$F235)+(P235*$F235))</f>
        <v>0</v>
      </c>
      <c r="R234" s="161">
        <v>0</v>
      </c>
      <c r="S234" s="166">
        <f>1.172*((R234*$F234*$F235)+(R235*$F235))</f>
        <v>0</v>
      </c>
      <c r="T234" s="156">
        <v>0</v>
      </c>
      <c r="U234" s="166">
        <f>1.206*((T234*$F234*$F235)+(T235*$F235))</f>
        <v>0</v>
      </c>
      <c r="V234" s="161">
        <v>0</v>
      </c>
      <c r="W234" s="166">
        <f>1.242*((V234*$F234*$F235)+(V235*$F235))</f>
        <v>0</v>
      </c>
      <c r="X234" s="156">
        <v>0</v>
      </c>
      <c r="Y234" s="175">
        <f>(X234*$F234*$F235)</f>
        <v>0</v>
      </c>
      <c r="Z234" s="161">
        <v>0</v>
      </c>
      <c r="AA234" s="159">
        <f>(Z234*$F234*$F235)</f>
        <v>0</v>
      </c>
    </row>
    <row r="235" spans="2:27" ht="30" customHeight="1" thickBot="1" x14ac:dyDescent="0.35">
      <c r="B235" s="119"/>
      <c r="C235" s="174"/>
      <c r="D235" s="173"/>
      <c r="E235" s="14" t="s">
        <v>70</v>
      </c>
      <c r="F235" s="102">
        <f>Rates!O51</f>
        <v>10250</v>
      </c>
      <c r="G235" s="172"/>
      <c r="H235" s="163"/>
      <c r="I235" s="160"/>
      <c r="J235" s="163"/>
      <c r="K235" s="167"/>
      <c r="L235" s="158"/>
      <c r="M235" s="167"/>
      <c r="N235" s="163"/>
      <c r="O235" s="167"/>
      <c r="P235" s="158"/>
      <c r="Q235" s="167"/>
      <c r="R235" s="163"/>
      <c r="S235" s="167"/>
      <c r="T235" s="158"/>
      <c r="U235" s="167"/>
      <c r="V235" s="163"/>
      <c r="W235" s="167"/>
      <c r="X235" s="158"/>
      <c r="Y235" s="176"/>
      <c r="Z235" s="163"/>
      <c r="AA235" s="160"/>
    </row>
    <row r="236" spans="2:27" ht="30" customHeight="1" x14ac:dyDescent="0.3">
      <c r="B236" s="119"/>
      <c r="C236" s="150" t="s">
        <v>90</v>
      </c>
      <c r="D236" s="152" t="s">
        <v>196</v>
      </c>
      <c r="E236" s="9" t="s">
        <v>68</v>
      </c>
      <c r="F236" s="101">
        <f>Rates!N52</f>
        <v>0.01</v>
      </c>
      <c r="G236" s="171" t="s">
        <v>69</v>
      </c>
      <c r="H236" s="161"/>
      <c r="I236" s="133">
        <f>1.027*(H236*$F236*$F237)</f>
        <v>0</v>
      </c>
      <c r="J236" s="161">
        <v>0</v>
      </c>
      <c r="K236" s="166">
        <f>1.056*((J236*$F236*$F237)+(J237*$F237))</f>
        <v>0</v>
      </c>
      <c r="L236" s="156">
        <v>0</v>
      </c>
      <c r="M236" s="166">
        <f>1.083*((L236*$F236*$F237)+(L237*$F237))</f>
        <v>0</v>
      </c>
      <c r="N236" s="161">
        <v>0</v>
      </c>
      <c r="O236" s="166">
        <f>1.11*((N236*$F236*$F237)+(N237*$F237))</f>
        <v>0</v>
      </c>
      <c r="P236" s="156">
        <v>0</v>
      </c>
      <c r="Q236" s="166">
        <f>1.14*((P236*$F236*$F237)+(P237*$F237))</f>
        <v>0</v>
      </c>
      <c r="R236" s="161">
        <v>0</v>
      </c>
      <c r="S236" s="166">
        <f>1.172*((R236*$F236*$F237)+(R237*$F237))</f>
        <v>0</v>
      </c>
      <c r="T236" s="156">
        <v>0</v>
      </c>
      <c r="U236" s="166">
        <f>1.206*((T236*$F236*$F237)+(T237*$F237))</f>
        <v>0</v>
      </c>
      <c r="V236" s="161">
        <v>0</v>
      </c>
      <c r="W236" s="166">
        <f>1.242*((V236*$F236*$F237)+(V237*$F237))</f>
        <v>0</v>
      </c>
      <c r="X236" s="156">
        <v>0</v>
      </c>
      <c r="Y236" s="175">
        <f>(X236*$F236*$F237)</f>
        <v>0</v>
      </c>
      <c r="Z236" s="161">
        <v>0</v>
      </c>
      <c r="AA236" s="159">
        <f>(Z236*$F236*$F237)</f>
        <v>0</v>
      </c>
    </row>
    <row r="237" spans="2:27" ht="30" customHeight="1" thickBot="1" x14ac:dyDescent="0.35">
      <c r="B237" s="119"/>
      <c r="C237" s="174"/>
      <c r="D237" s="173"/>
      <c r="E237" s="14" t="s">
        <v>70</v>
      </c>
      <c r="F237" s="102">
        <f>Rates!O52</f>
        <v>10250</v>
      </c>
      <c r="G237" s="172"/>
      <c r="H237" s="163"/>
      <c r="I237" s="160"/>
      <c r="J237" s="163"/>
      <c r="K237" s="167"/>
      <c r="L237" s="158"/>
      <c r="M237" s="167"/>
      <c r="N237" s="163"/>
      <c r="O237" s="167"/>
      <c r="P237" s="158"/>
      <c r="Q237" s="167"/>
      <c r="R237" s="163"/>
      <c r="S237" s="167"/>
      <c r="T237" s="158"/>
      <c r="U237" s="167"/>
      <c r="V237" s="163"/>
      <c r="W237" s="167"/>
      <c r="X237" s="158"/>
      <c r="Y237" s="176"/>
      <c r="Z237" s="163"/>
      <c r="AA237" s="160"/>
    </row>
    <row r="238" spans="2:27" ht="30" customHeight="1" x14ac:dyDescent="0.3">
      <c r="B238" s="119"/>
      <c r="C238" s="150" t="s">
        <v>91</v>
      </c>
      <c r="D238" s="152" t="s">
        <v>195</v>
      </c>
      <c r="E238" s="9" t="s">
        <v>68</v>
      </c>
      <c r="F238" s="101">
        <f>Rates!N53</f>
        <v>5.0000000000000001E-3</v>
      </c>
      <c r="G238" s="171" t="s">
        <v>69</v>
      </c>
      <c r="H238" s="161"/>
      <c r="I238" s="133">
        <f>1.027*(H238*$F238*$F239)</f>
        <v>0</v>
      </c>
      <c r="J238" s="161">
        <v>0</v>
      </c>
      <c r="K238" s="166">
        <f>1.056*((J238*$F238*$F239)+(J239*$F239))</f>
        <v>0</v>
      </c>
      <c r="L238" s="156">
        <v>0</v>
      </c>
      <c r="M238" s="166">
        <f>1.083*((L238*$F238*$F239)+(L239*$F239))</f>
        <v>0</v>
      </c>
      <c r="N238" s="161">
        <v>0</v>
      </c>
      <c r="O238" s="166">
        <f>1.11*((N238*$F238*$F239)+(N239*$F239))</f>
        <v>0</v>
      </c>
      <c r="P238" s="156">
        <v>0</v>
      </c>
      <c r="Q238" s="166">
        <f>1.14*((P238*$F238*$F239)+(P239*$F239))</f>
        <v>0</v>
      </c>
      <c r="R238" s="161">
        <v>0</v>
      </c>
      <c r="S238" s="166">
        <f>1.172*((R238*$F238*$F239)+(R239*$F239))</f>
        <v>0</v>
      </c>
      <c r="T238" s="156">
        <v>0</v>
      </c>
      <c r="U238" s="166">
        <f>1.206*((T238*$F238*$F239)+(T239*$F239))</f>
        <v>0</v>
      </c>
      <c r="V238" s="161">
        <v>0</v>
      </c>
      <c r="W238" s="166">
        <f>1.242*((V238*$F238*$F239)+(V239*$F239))</f>
        <v>0</v>
      </c>
      <c r="X238" s="156">
        <v>0</v>
      </c>
      <c r="Y238" s="175">
        <f>(X238*$F238*$F239)</f>
        <v>0</v>
      </c>
      <c r="Z238" s="161">
        <v>0</v>
      </c>
      <c r="AA238" s="159">
        <f>(Z238*$F238*$F239)</f>
        <v>0</v>
      </c>
    </row>
    <row r="239" spans="2:27" ht="30" customHeight="1" thickBot="1" x14ac:dyDescent="0.35">
      <c r="B239" s="120"/>
      <c r="C239" s="174"/>
      <c r="D239" s="173"/>
      <c r="E239" s="14" t="s">
        <v>70</v>
      </c>
      <c r="F239" s="102">
        <f>Rates!O53</f>
        <v>10250</v>
      </c>
      <c r="G239" s="172"/>
      <c r="H239" s="163"/>
      <c r="I239" s="160"/>
      <c r="J239" s="163"/>
      <c r="K239" s="167"/>
      <c r="L239" s="158"/>
      <c r="M239" s="167"/>
      <c r="N239" s="163"/>
      <c r="O239" s="167"/>
      <c r="P239" s="158"/>
      <c r="Q239" s="167"/>
      <c r="R239" s="163"/>
      <c r="S239" s="167"/>
      <c r="T239" s="158"/>
      <c r="U239" s="167"/>
      <c r="V239" s="163"/>
      <c r="W239" s="167"/>
      <c r="X239" s="158"/>
      <c r="Y239" s="176"/>
      <c r="Z239" s="163"/>
      <c r="AA239" s="160"/>
    </row>
    <row r="240" spans="2:27" ht="30" customHeight="1" x14ac:dyDescent="0.3">
      <c r="B240" s="118" t="s">
        <v>71</v>
      </c>
      <c r="C240" s="150" t="s">
        <v>102</v>
      </c>
      <c r="D240" s="152" t="s">
        <v>197</v>
      </c>
      <c r="E240" s="9" t="s">
        <v>68</v>
      </c>
      <c r="F240" s="101">
        <f>Rates!N54</f>
        <v>0.01</v>
      </c>
      <c r="G240" s="171" t="s">
        <v>69</v>
      </c>
      <c r="H240" s="161"/>
      <c r="I240" s="133">
        <f>1.027*(H240*$F240*$F241)</f>
        <v>0</v>
      </c>
      <c r="J240" s="161">
        <v>0</v>
      </c>
      <c r="K240" s="166">
        <f>1.056*((J240*$F240*$F241)+(J241*$F241))</f>
        <v>0</v>
      </c>
      <c r="L240" s="156">
        <v>0</v>
      </c>
      <c r="M240" s="166">
        <f>1.083*((L240*$F240*$F241)+(L241*$F241))</f>
        <v>0</v>
      </c>
      <c r="N240" s="161">
        <v>0</v>
      </c>
      <c r="O240" s="166">
        <f>1.11*((N240*$F240*$F241)+(N241*$F241))</f>
        <v>0</v>
      </c>
      <c r="P240" s="156">
        <v>0</v>
      </c>
      <c r="Q240" s="166">
        <f>1.14*((P240*$F240*$F241)+(P241*$F241))</f>
        <v>0</v>
      </c>
      <c r="R240" s="161">
        <v>0</v>
      </c>
      <c r="S240" s="166">
        <f>1.172*((R240*$F240*$F241)+(R241*$F241))</f>
        <v>0</v>
      </c>
      <c r="T240" s="156">
        <v>0</v>
      </c>
      <c r="U240" s="166">
        <f>1.206*((T240*$F240*$F241)+(T241*$F241))</f>
        <v>0</v>
      </c>
      <c r="V240" s="161">
        <v>0</v>
      </c>
      <c r="W240" s="166">
        <f>1.242*((V240*$F240*$F241)+(V241*$F241))</f>
        <v>0</v>
      </c>
      <c r="X240" s="156">
        <v>0</v>
      </c>
      <c r="Y240" s="175">
        <f>(X240*$F240*$F241)</f>
        <v>0</v>
      </c>
      <c r="Z240" s="161">
        <v>0</v>
      </c>
      <c r="AA240" s="159">
        <f>(Z240*$F240*$F241)</f>
        <v>0</v>
      </c>
    </row>
    <row r="241" spans="2:27" ht="44.25" customHeight="1" thickBot="1" x14ac:dyDescent="0.35">
      <c r="B241" s="119"/>
      <c r="C241" s="174"/>
      <c r="D241" s="173"/>
      <c r="E241" s="14" t="s">
        <v>72</v>
      </c>
      <c r="F241" s="102">
        <f>Rates!O54</f>
        <v>5195</v>
      </c>
      <c r="G241" s="172"/>
      <c r="H241" s="163"/>
      <c r="I241" s="160"/>
      <c r="J241" s="163"/>
      <c r="K241" s="167"/>
      <c r="L241" s="158"/>
      <c r="M241" s="167"/>
      <c r="N241" s="163"/>
      <c r="O241" s="167"/>
      <c r="P241" s="158"/>
      <c r="Q241" s="167"/>
      <c r="R241" s="163"/>
      <c r="S241" s="167"/>
      <c r="T241" s="158"/>
      <c r="U241" s="167"/>
      <c r="V241" s="163"/>
      <c r="W241" s="167"/>
      <c r="X241" s="158"/>
      <c r="Y241" s="176"/>
      <c r="Z241" s="163"/>
      <c r="AA241" s="160"/>
    </row>
    <row r="242" spans="2:27" ht="30" customHeight="1" x14ac:dyDescent="0.3">
      <c r="B242" s="119"/>
      <c r="C242" s="150" t="s">
        <v>90</v>
      </c>
      <c r="D242" s="152" t="s">
        <v>197</v>
      </c>
      <c r="E242" s="9" t="s">
        <v>68</v>
      </c>
      <c r="F242" s="101">
        <f>Rates!N55</f>
        <v>0.02</v>
      </c>
      <c r="G242" s="171" t="s">
        <v>69</v>
      </c>
      <c r="H242" s="161"/>
      <c r="I242" s="133">
        <f>1.027*(H242*$F242*$F243)</f>
        <v>0</v>
      </c>
      <c r="J242" s="161">
        <v>0</v>
      </c>
      <c r="K242" s="166">
        <f>1.056*((J242*$F242*$F243)+(J243*$F243))</f>
        <v>0</v>
      </c>
      <c r="L242" s="156">
        <v>0</v>
      </c>
      <c r="M242" s="166">
        <f>1.083*((L242*$F242*$F243)+(L243*$F243))</f>
        <v>0</v>
      </c>
      <c r="N242" s="161">
        <v>0</v>
      </c>
      <c r="O242" s="166">
        <f>1.11*((N242*$F242*$F243)+(N243*$F243))</f>
        <v>0</v>
      </c>
      <c r="P242" s="156">
        <v>0</v>
      </c>
      <c r="Q242" s="166">
        <f>1.14*((P242*$F242*$F243)+(P243*$F243))</f>
        <v>0</v>
      </c>
      <c r="R242" s="161">
        <v>0</v>
      </c>
      <c r="S242" s="166">
        <f>1.172*((R242*$F242*$F243)+(R243*$F243))</f>
        <v>0</v>
      </c>
      <c r="T242" s="156">
        <v>0</v>
      </c>
      <c r="U242" s="166">
        <f>1.206*((T242*$F242*$F243)+(T243*$F243))</f>
        <v>0</v>
      </c>
      <c r="V242" s="161">
        <v>0</v>
      </c>
      <c r="W242" s="166">
        <f>1.242*((V242*$F242*$F243)+(V243*$F243))</f>
        <v>0</v>
      </c>
      <c r="X242" s="156">
        <v>0</v>
      </c>
      <c r="Y242" s="175">
        <f>(X242*$F242*$F243)</f>
        <v>0</v>
      </c>
      <c r="Z242" s="161">
        <v>0</v>
      </c>
      <c r="AA242" s="159">
        <f>(Z242*$F242*$F243)</f>
        <v>0</v>
      </c>
    </row>
    <row r="243" spans="2:27" ht="47.25" customHeight="1" thickBot="1" x14ac:dyDescent="0.35">
      <c r="B243" s="119"/>
      <c r="C243" s="174"/>
      <c r="D243" s="173"/>
      <c r="E243" s="14" t="s">
        <v>72</v>
      </c>
      <c r="F243" s="102">
        <f>Rates!O55</f>
        <v>5195</v>
      </c>
      <c r="G243" s="172"/>
      <c r="H243" s="163"/>
      <c r="I243" s="160"/>
      <c r="J243" s="163"/>
      <c r="K243" s="167"/>
      <c r="L243" s="158"/>
      <c r="M243" s="167"/>
      <c r="N243" s="163"/>
      <c r="O243" s="167"/>
      <c r="P243" s="158"/>
      <c r="Q243" s="167"/>
      <c r="R243" s="163"/>
      <c r="S243" s="167"/>
      <c r="T243" s="158"/>
      <c r="U243" s="167"/>
      <c r="V243" s="163"/>
      <c r="W243" s="167"/>
      <c r="X243" s="158"/>
      <c r="Y243" s="176"/>
      <c r="Z243" s="163"/>
      <c r="AA243" s="160"/>
    </row>
    <row r="244" spans="2:27" ht="30" customHeight="1" x14ac:dyDescent="0.3">
      <c r="B244" s="119"/>
      <c r="C244" s="150" t="s">
        <v>91</v>
      </c>
      <c r="D244" s="152" t="s">
        <v>198</v>
      </c>
      <c r="E244" s="9" t="s">
        <v>68</v>
      </c>
      <c r="F244" s="101">
        <f>Rates!N56</f>
        <v>0.01</v>
      </c>
      <c r="G244" s="171" t="s">
        <v>69</v>
      </c>
      <c r="H244" s="161"/>
      <c r="I244" s="133">
        <f>1.027*(H244*$F244*$F245)</f>
        <v>0</v>
      </c>
      <c r="J244" s="161">
        <v>0</v>
      </c>
      <c r="K244" s="166">
        <f>1.056*((J244*$F244*$F245)+(J245*$F245))</f>
        <v>0</v>
      </c>
      <c r="L244" s="156">
        <v>0</v>
      </c>
      <c r="M244" s="166">
        <f>1.083*((L244*$F244*$F245)+(L245*$F245))</f>
        <v>0</v>
      </c>
      <c r="N244" s="161">
        <v>0</v>
      </c>
      <c r="O244" s="166">
        <f>1.11*((N244*$F244*$F245)+(N245*$F245))</f>
        <v>0</v>
      </c>
      <c r="P244" s="156">
        <v>0</v>
      </c>
      <c r="Q244" s="166">
        <f>1.14*((P244*$F244*$F245)+(P245*$F245))</f>
        <v>0</v>
      </c>
      <c r="R244" s="161">
        <v>0</v>
      </c>
      <c r="S244" s="166">
        <f>1.172*((R244*$F244*$F245)+(R245*$F245))</f>
        <v>0</v>
      </c>
      <c r="T244" s="156">
        <v>0</v>
      </c>
      <c r="U244" s="166">
        <f>1.206*((T244*$F244*$F245)+(T245*$F245))</f>
        <v>0</v>
      </c>
      <c r="V244" s="161">
        <v>0</v>
      </c>
      <c r="W244" s="166">
        <f>1.242*((V244*$F244*$F245)+(V245*$F245))</f>
        <v>0</v>
      </c>
      <c r="X244" s="156">
        <v>0</v>
      </c>
      <c r="Y244" s="175">
        <f>(X244*$F244*$F245)</f>
        <v>0</v>
      </c>
      <c r="Z244" s="161">
        <v>0</v>
      </c>
      <c r="AA244" s="159">
        <f>(Z244*$F244*$F245)</f>
        <v>0</v>
      </c>
    </row>
    <row r="245" spans="2:27" ht="40.5" customHeight="1" thickBot="1" x14ac:dyDescent="0.35">
      <c r="B245" s="120"/>
      <c r="C245" s="174"/>
      <c r="D245" s="173"/>
      <c r="E245" s="14" t="s">
        <v>72</v>
      </c>
      <c r="F245" s="102">
        <f>Rates!O56</f>
        <v>5195</v>
      </c>
      <c r="G245" s="172"/>
      <c r="H245" s="163"/>
      <c r="I245" s="160"/>
      <c r="J245" s="163"/>
      <c r="K245" s="167"/>
      <c r="L245" s="158"/>
      <c r="M245" s="167"/>
      <c r="N245" s="163"/>
      <c r="O245" s="167"/>
      <c r="P245" s="158"/>
      <c r="Q245" s="167"/>
      <c r="R245" s="163"/>
      <c r="S245" s="167"/>
      <c r="T245" s="158"/>
      <c r="U245" s="167"/>
      <c r="V245" s="163"/>
      <c r="W245" s="167"/>
      <c r="X245" s="158"/>
      <c r="Y245" s="176"/>
      <c r="Z245" s="163"/>
      <c r="AA245" s="160"/>
    </row>
    <row r="246" spans="2:27" ht="30" customHeight="1" x14ac:dyDescent="0.3">
      <c r="B246" s="118" t="s">
        <v>73</v>
      </c>
      <c r="C246" s="168" t="s">
        <v>102</v>
      </c>
      <c r="D246" s="152" t="s">
        <v>199</v>
      </c>
      <c r="E246" s="9" t="s">
        <v>74</v>
      </c>
      <c r="F246" s="101">
        <f>Rates!N57</f>
        <v>0.01</v>
      </c>
      <c r="G246" s="171" t="s">
        <v>75</v>
      </c>
      <c r="H246" s="161"/>
      <c r="I246" s="133">
        <f>1.027*(H246*$F246*$F247)</f>
        <v>0</v>
      </c>
      <c r="J246" s="161">
        <v>0</v>
      </c>
      <c r="K246" s="166">
        <f>1.056*((J246*$F246*$F247)+(J247*$F247))</f>
        <v>0</v>
      </c>
      <c r="L246" s="156">
        <v>0</v>
      </c>
      <c r="M246" s="166">
        <f>1.083*((L246*$F246*$F247)+(L247*$F247))</f>
        <v>0</v>
      </c>
      <c r="N246" s="161">
        <v>0</v>
      </c>
      <c r="O246" s="166">
        <f>1.11*((N246*$F246*$F247)+(N247*$F247))</f>
        <v>0</v>
      </c>
      <c r="P246" s="156">
        <v>0</v>
      </c>
      <c r="Q246" s="166">
        <f>1.14*((P246*$F246*$F247)+(P247*$F247))</f>
        <v>0</v>
      </c>
      <c r="R246" s="161">
        <v>0</v>
      </c>
      <c r="S246" s="166">
        <f>1.172*((R246*$F246*$F247)+(R247*$F247))</f>
        <v>0</v>
      </c>
      <c r="T246" s="156">
        <v>0</v>
      </c>
      <c r="U246" s="166">
        <f>1.206*((T246*$F246*$F247)+(T247*$F247))</f>
        <v>0</v>
      </c>
      <c r="V246" s="161">
        <v>0</v>
      </c>
      <c r="W246" s="166">
        <f>1.242*((V246*$F246*$F247)+(V247*$F247))</f>
        <v>0</v>
      </c>
      <c r="X246" s="112">
        <v>0</v>
      </c>
      <c r="Y246" s="159">
        <f>(X246*$F246*$F247)</f>
        <v>0</v>
      </c>
      <c r="Z246" s="161">
        <v>0</v>
      </c>
      <c r="AA246" s="159">
        <f>(Z246*$F246*$F247)</f>
        <v>0</v>
      </c>
    </row>
    <row r="247" spans="2:27" ht="30" customHeight="1" thickBot="1" x14ac:dyDescent="0.35">
      <c r="B247" s="119"/>
      <c r="C247" s="169"/>
      <c r="D247" s="173"/>
      <c r="E247" s="14" t="s">
        <v>76</v>
      </c>
      <c r="F247" s="102">
        <f>Rates!O57</f>
        <v>7118</v>
      </c>
      <c r="G247" s="172"/>
      <c r="H247" s="163"/>
      <c r="I247" s="160"/>
      <c r="J247" s="163"/>
      <c r="K247" s="167"/>
      <c r="L247" s="158"/>
      <c r="M247" s="167"/>
      <c r="N247" s="163"/>
      <c r="O247" s="167"/>
      <c r="P247" s="158"/>
      <c r="Q247" s="167"/>
      <c r="R247" s="163"/>
      <c r="S247" s="167"/>
      <c r="T247" s="158"/>
      <c r="U247" s="167"/>
      <c r="V247" s="163"/>
      <c r="W247" s="167"/>
      <c r="X247" s="113"/>
      <c r="Y247" s="160"/>
      <c r="Z247" s="163"/>
      <c r="AA247" s="160"/>
    </row>
    <row r="248" spans="2:27" ht="30" customHeight="1" x14ac:dyDescent="0.3">
      <c r="B248" s="119"/>
      <c r="C248" s="168" t="s">
        <v>90</v>
      </c>
      <c r="D248" s="152" t="s">
        <v>200</v>
      </c>
      <c r="E248" s="9" t="s">
        <v>74</v>
      </c>
      <c r="F248" s="101">
        <f>Rates!N58</f>
        <v>0.01</v>
      </c>
      <c r="G248" s="171" t="s">
        <v>75</v>
      </c>
      <c r="H248" s="161"/>
      <c r="I248" s="133">
        <f>1.027*(H248*$F248*$F249)</f>
        <v>0</v>
      </c>
      <c r="J248" s="161">
        <v>0</v>
      </c>
      <c r="K248" s="166">
        <f>1.056*((J248*$F248*$F249)+(J249*$F249))</f>
        <v>0</v>
      </c>
      <c r="L248" s="156">
        <v>0</v>
      </c>
      <c r="M248" s="166">
        <f>1.083*((L248*$F248*$F249)+(L249*$F249))</f>
        <v>0</v>
      </c>
      <c r="N248" s="161">
        <v>0</v>
      </c>
      <c r="O248" s="166">
        <f>1.11*((N248*$F248*$F249)+(N249*$F249))</f>
        <v>0</v>
      </c>
      <c r="P248" s="156">
        <v>0</v>
      </c>
      <c r="Q248" s="166">
        <f>1.14*((P248*$F248*$F249)+(P249*$F249))</f>
        <v>0</v>
      </c>
      <c r="R248" s="161">
        <v>0</v>
      </c>
      <c r="S248" s="166">
        <f>1.172*((R248*$F248*$F249)+(R249*$F249))</f>
        <v>0</v>
      </c>
      <c r="T248" s="156">
        <v>0</v>
      </c>
      <c r="U248" s="166">
        <f>1.206*((T248*$F248*$F249)+(T249*$F249))</f>
        <v>0</v>
      </c>
      <c r="V248" s="161">
        <v>0</v>
      </c>
      <c r="W248" s="166">
        <f>1.242*((V248*$F248*$F249)+(V249*$F249))</f>
        <v>0</v>
      </c>
      <c r="X248" s="112">
        <v>0</v>
      </c>
      <c r="Y248" s="159">
        <f>(X248*$F248*$F249)</f>
        <v>0</v>
      </c>
      <c r="Z248" s="161">
        <v>0</v>
      </c>
      <c r="AA248" s="159">
        <f>(Z248*$F248*$F249)</f>
        <v>0</v>
      </c>
    </row>
    <row r="249" spans="2:27" ht="30" customHeight="1" thickBot="1" x14ac:dyDescent="0.35">
      <c r="B249" s="119"/>
      <c r="C249" s="169"/>
      <c r="D249" s="173"/>
      <c r="E249" s="14" t="s">
        <v>76</v>
      </c>
      <c r="F249" s="102">
        <f>Rates!O58</f>
        <v>7118</v>
      </c>
      <c r="G249" s="172"/>
      <c r="H249" s="163"/>
      <c r="I249" s="160"/>
      <c r="J249" s="163"/>
      <c r="K249" s="167"/>
      <c r="L249" s="158"/>
      <c r="M249" s="167"/>
      <c r="N249" s="163"/>
      <c r="O249" s="167"/>
      <c r="P249" s="158"/>
      <c r="Q249" s="167"/>
      <c r="R249" s="163"/>
      <c r="S249" s="167"/>
      <c r="T249" s="158"/>
      <c r="U249" s="167"/>
      <c r="V249" s="163"/>
      <c r="W249" s="167"/>
      <c r="X249" s="113"/>
      <c r="Y249" s="160"/>
      <c r="Z249" s="163"/>
      <c r="AA249" s="160"/>
    </row>
    <row r="250" spans="2:27" ht="30" customHeight="1" x14ac:dyDescent="0.3">
      <c r="B250" s="119"/>
      <c r="C250" s="168" t="s">
        <v>91</v>
      </c>
      <c r="D250" s="152" t="s">
        <v>201</v>
      </c>
      <c r="E250" s="9" t="s">
        <v>74</v>
      </c>
      <c r="F250" s="101">
        <f>Rates!N59</f>
        <v>0.01</v>
      </c>
      <c r="G250" s="171" t="s">
        <v>75</v>
      </c>
      <c r="H250" s="161"/>
      <c r="I250" s="133">
        <f>1.027*(H250*$F250*$F251)</f>
        <v>0</v>
      </c>
      <c r="J250" s="161">
        <v>0</v>
      </c>
      <c r="K250" s="166">
        <f>1.056*((J250*$F250*$F251)+(J251*$F251))</f>
        <v>0</v>
      </c>
      <c r="L250" s="156">
        <v>0</v>
      </c>
      <c r="M250" s="166">
        <f>1.083*((L250*$F250*$F251)+(L251*$F251))</f>
        <v>0</v>
      </c>
      <c r="N250" s="161">
        <v>0</v>
      </c>
      <c r="O250" s="166">
        <f>1.11*((N250*$F250*$F251)+(N251*$F251))</f>
        <v>0</v>
      </c>
      <c r="P250" s="156">
        <v>0</v>
      </c>
      <c r="Q250" s="166">
        <f>1.14*((P250*$F250*$F251)+(P251*$F251))</f>
        <v>0</v>
      </c>
      <c r="R250" s="161">
        <v>0</v>
      </c>
      <c r="S250" s="166">
        <f>1.172*((R250*$F250*$F251)+(R251*$F251))</f>
        <v>0</v>
      </c>
      <c r="T250" s="156">
        <v>0</v>
      </c>
      <c r="U250" s="166">
        <f>1.206*((T250*$F250*$F251)+(T251*$F251))</f>
        <v>0</v>
      </c>
      <c r="V250" s="161">
        <v>0</v>
      </c>
      <c r="W250" s="166">
        <f>1.242*((V250*$F250*$F251)+(V251*$F251))</f>
        <v>0</v>
      </c>
      <c r="X250" s="112">
        <v>0</v>
      </c>
      <c r="Y250" s="159">
        <f>(X250*$F250*$F251)</f>
        <v>0</v>
      </c>
      <c r="Z250" s="161">
        <v>0</v>
      </c>
      <c r="AA250" s="159">
        <f>(Z250*$F250*$F251)</f>
        <v>0</v>
      </c>
    </row>
    <row r="251" spans="2:27" ht="30" customHeight="1" thickBot="1" x14ac:dyDescent="0.35">
      <c r="B251" s="120"/>
      <c r="C251" s="169"/>
      <c r="D251" s="173"/>
      <c r="E251" s="14" t="s">
        <v>76</v>
      </c>
      <c r="F251" s="102">
        <f>Rates!O59</f>
        <v>7118</v>
      </c>
      <c r="G251" s="172"/>
      <c r="H251" s="163"/>
      <c r="I251" s="160"/>
      <c r="J251" s="163"/>
      <c r="K251" s="167"/>
      <c r="L251" s="158"/>
      <c r="M251" s="167"/>
      <c r="N251" s="163"/>
      <c r="O251" s="167"/>
      <c r="P251" s="158"/>
      <c r="Q251" s="167"/>
      <c r="R251" s="163"/>
      <c r="S251" s="167"/>
      <c r="T251" s="158"/>
      <c r="U251" s="167"/>
      <c r="V251" s="163"/>
      <c r="W251" s="167"/>
      <c r="X251" s="113"/>
      <c r="Y251" s="160"/>
      <c r="Z251" s="163"/>
      <c r="AA251" s="160"/>
    </row>
    <row r="252" spans="2:27" ht="30" customHeight="1" x14ac:dyDescent="0.3">
      <c r="B252" s="118" t="s">
        <v>98</v>
      </c>
      <c r="C252" s="168" t="s">
        <v>102</v>
      </c>
      <c r="D252" s="152" t="s">
        <v>202</v>
      </c>
      <c r="E252" s="9" t="s">
        <v>77</v>
      </c>
      <c r="F252" s="101">
        <f>Rates!N60</f>
        <v>0.01</v>
      </c>
      <c r="G252" s="171" t="s">
        <v>78</v>
      </c>
      <c r="H252" s="161"/>
      <c r="I252" s="159">
        <f>1.027*((H252*$F252*$F253))</f>
        <v>0</v>
      </c>
      <c r="J252" s="161">
        <v>0</v>
      </c>
      <c r="K252" s="166">
        <f>1.056*((J252*$F252*$F253)+(J253*$F253))</f>
        <v>0</v>
      </c>
      <c r="L252" s="156">
        <v>0</v>
      </c>
      <c r="M252" s="166">
        <f>1.083*((L252*$F252*$F253)+(L253*$F253))</f>
        <v>0</v>
      </c>
      <c r="N252" s="161">
        <v>0</v>
      </c>
      <c r="O252" s="166">
        <f>1.11*((N252*$F252*$F253)+(N253*$F253))</f>
        <v>0</v>
      </c>
      <c r="P252" s="156">
        <v>0</v>
      </c>
      <c r="Q252" s="166">
        <f>1.14*((P252*$F252*$F253)+(P253*$F253))</f>
        <v>0</v>
      </c>
      <c r="R252" s="161">
        <v>0</v>
      </c>
      <c r="S252" s="166">
        <f>1.172*((R252*$F252*$F253)+(R253*$F253))</f>
        <v>0</v>
      </c>
      <c r="T252" s="156">
        <v>0</v>
      </c>
      <c r="U252" s="166">
        <f>1.206*((T252*$F252*$F253)+(T253*$F253))</f>
        <v>0</v>
      </c>
      <c r="V252" s="161">
        <v>0</v>
      </c>
      <c r="W252" s="166">
        <f>1.242*((V252*$F252*$F253)+(V253*$F253))</f>
        <v>0</v>
      </c>
      <c r="X252" s="112">
        <v>0</v>
      </c>
      <c r="Y252" s="159">
        <f>(X252*$F252*$F253)</f>
        <v>0</v>
      </c>
      <c r="Z252" s="161">
        <v>0</v>
      </c>
      <c r="AA252" s="159">
        <f>(Z252*$F252*$F253)</f>
        <v>0</v>
      </c>
    </row>
    <row r="253" spans="2:27" ht="30" customHeight="1" thickBot="1" x14ac:dyDescent="0.35">
      <c r="B253" s="119"/>
      <c r="C253" s="169"/>
      <c r="D253" s="173"/>
      <c r="E253" s="14" t="s">
        <v>79</v>
      </c>
      <c r="F253" s="102">
        <f>Rates!O60</f>
        <v>1593</v>
      </c>
      <c r="G253" s="172"/>
      <c r="H253" s="163"/>
      <c r="I253" s="160"/>
      <c r="J253" s="163"/>
      <c r="K253" s="167"/>
      <c r="L253" s="158"/>
      <c r="M253" s="167"/>
      <c r="N253" s="163"/>
      <c r="O253" s="167"/>
      <c r="P253" s="158"/>
      <c r="Q253" s="167"/>
      <c r="R253" s="163"/>
      <c r="S253" s="167"/>
      <c r="T253" s="158"/>
      <c r="U253" s="167"/>
      <c r="V253" s="163"/>
      <c r="W253" s="167"/>
      <c r="X253" s="113"/>
      <c r="Y253" s="160"/>
      <c r="Z253" s="163"/>
      <c r="AA253" s="160"/>
    </row>
    <row r="254" spans="2:27" ht="30" customHeight="1" x14ac:dyDescent="0.3">
      <c r="B254" s="119"/>
      <c r="C254" s="168" t="s">
        <v>90</v>
      </c>
      <c r="D254" s="152" t="s">
        <v>203</v>
      </c>
      <c r="E254" s="9" t="s">
        <v>77</v>
      </c>
      <c r="F254" s="101">
        <f>Rates!N61</f>
        <v>0.02</v>
      </c>
      <c r="G254" s="171" t="s">
        <v>78</v>
      </c>
      <c r="H254" s="161"/>
      <c r="I254" s="159">
        <f>1.027*((H254*$F254*$F255))</f>
        <v>0</v>
      </c>
      <c r="J254" s="161">
        <v>0</v>
      </c>
      <c r="K254" s="166">
        <f>1.056*((J254*$F254*$F255)+(J255*$F255))</f>
        <v>0</v>
      </c>
      <c r="L254" s="156">
        <v>0</v>
      </c>
      <c r="M254" s="166">
        <f>1.083*((L254*$F254*$F255)+(L255*$F255))</f>
        <v>0</v>
      </c>
      <c r="N254" s="161">
        <v>0</v>
      </c>
      <c r="O254" s="166">
        <f>1.11*((N254*$F254*$F255)+(N255*$F255))</f>
        <v>0</v>
      </c>
      <c r="P254" s="156">
        <v>0</v>
      </c>
      <c r="Q254" s="166">
        <f>1.14*((P254*$F254*$F255)+(P255*$F255))</f>
        <v>0</v>
      </c>
      <c r="R254" s="161">
        <v>0</v>
      </c>
      <c r="S254" s="166">
        <f>1.172*((R254*$F254*$F255)+(R255*$F255))</f>
        <v>0</v>
      </c>
      <c r="T254" s="156">
        <v>0</v>
      </c>
      <c r="U254" s="166">
        <f>1.206*((T254*$F254*$F255)+(T255*$F255))</f>
        <v>0</v>
      </c>
      <c r="V254" s="161">
        <v>0</v>
      </c>
      <c r="W254" s="166">
        <f>1.242*((V254*$F254*$F255)+(V255*$F255))</f>
        <v>0</v>
      </c>
      <c r="X254" s="112">
        <v>0</v>
      </c>
      <c r="Y254" s="159">
        <f>(X254*$F254*$F255)</f>
        <v>0</v>
      </c>
      <c r="Z254" s="161">
        <v>0</v>
      </c>
      <c r="AA254" s="159">
        <f>(Z254*$F254*$F255)</f>
        <v>0</v>
      </c>
    </row>
    <row r="255" spans="2:27" ht="30" customHeight="1" thickBot="1" x14ac:dyDescent="0.35">
      <c r="B255" s="119"/>
      <c r="C255" s="169"/>
      <c r="D255" s="173"/>
      <c r="E255" s="14" t="s">
        <v>79</v>
      </c>
      <c r="F255" s="102">
        <f>Rates!O61</f>
        <v>1593</v>
      </c>
      <c r="G255" s="172"/>
      <c r="H255" s="163"/>
      <c r="I255" s="160"/>
      <c r="J255" s="163"/>
      <c r="K255" s="167"/>
      <c r="L255" s="158"/>
      <c r="M255" s="167"/>
      <c r="N255" s="163"/>
      <c r="O255" s="167"/>
      <c r="P255" s="158"/>
      <c r="Q255" s="167"/>
      <c r="R255" s="163"/>
      <c r="S255" s="167"/>
      <c r="T255" s="158"/>
      <c r="U255" s="167"/>
      <c r="V255" s="163"/>
      <c r="W255" s="167"/>
      <c r="X255" s="113"/>
      <c r="Y255" s="160"/>
      <c r="Z255" s="163"/>
      <c r="AA255" s="160"/>
    </row>
    <row r="256" spans="2:27" ht="30" customHeight="1" x14ac:dyDescent="0.3">
      <c r="B256" s="119"/>
      <c r="C256" s="168" t="s">
        <v>91</v>
      </c>
      <c r="D256" s="152" t="s">
        <v>203</v>
      </c>
      <c r="E256" s="9" t="s">
        <v>77</v>
      </c>
      <c r="F256" s="101">
        <f>Rates!N62</f>
        <v>0.01</v>
      </c>
      <c r="G256" s="171" t="s">
        <v>78</v>
      </c>
      <c r="H256" s="161"/>
      <c r="I256" s="159">
        <f>1.027*((H256*$F256*$F257))</f>
        <v>0</v>
      </c>
      <c r="J256" s="161">
        <v>0</v>
      </c>
      <c r="K256" s="166">
        <f>1.056*((J256*$F256*$F257)+(J257*$F257))</f>
        <v>0</v>
      </c>
      <c r="L256" s="156">
        <v>0</v>
      </c>
      <c r="M256" s="166">
        <f>1.083*((L256*$F256*$F257)+(L257*$F257))</f>
        <v>0</v>
      </c>
      <c r="N256" s="161">
        <v>0</v>
      </c>
      <c r="O256" s="166">
        <f>1.11*((N256*$F256*$F257)+(N257*$F257))</f>
        <v>0</v>
      </c>
      <c r="P256" s="156">
        <v>0</v>
      </c>
      <c r="Q256" s="166">
        <f>1.14*((P256*$F256*$F257)+(P257*$F257))</f>
        <v>0</v>
      </c>
      <c r="R256" s="161">
        <v>0</v>
      </c>
      <c r="S256" s="166">
        <f>1.172*((R256*$F256*$F257)+(R257*$F257))</f>
        <v>0</v>
      </c>
      <c r="T256" s="156">
        <v>0</v>
      </c>
      <c r="U256" s="166">
        <f>1.206*((T256*$F256*$F257)+(T257*$F257))</f>
        <v>0</v>
      </c>
      <c r="V256" s="161">
        <v>0</v>
      </c>
      <c r="W256" s="166">
        <f>1.242*((V256*$F256*$F257)+(V257*$F257))</f>
        <v>0</v>
      </c>
      <c r="X256" s="112">
        <v>0</v>
      </c>
      <c r="Y256" s="159">
        <f>(X256*$F256*$F257)</f>
        <v>0</v>
      </c>
      <c r="Z256" s="161">
        <v>0</v>
      </c>
      <c r="AA256" s="159">
        <f>(Z256*$F256*$F257)</f>
        <v>0</v>
      </c>
    </row>
    <row r="257" spans="2:27" ht="30" customHeight="1" thickBot="1" x14ac:dyDescent="0.35">
      <c r="B257" s="120"/>
      <c r="C257" s="169"/>
      <c r="D257" s="173"/>
      <c r="E257" s="14" t="s">
        <v>79</v>
      </c>
      <c r="F257" s="102">
        <f>Rates!O62</f>
        <v>1593</v>
      </c>
      <c r="G257" s="172"/>
      <c r="H257" s="163"/>
      <c r="I257" s="160"/>
      <c r="J257" s="163"/>
      <c r="K257" s="167"/>
      <c r="L257" s="158"/>
      <c r="M257" s="167"/>
      <c r="N257" s="163"/>
      <c r="O257" s="167"/>
      <c r="P257" s="158"/>
      <c r="Q257" s="167"/>
      <c r="R257" s="163"/>
      <c r="S257" s="167"/>
      <c r="T257" s="158"/>
      <c r="U257" s="167"/>
      <c r="V257" s="163"/>
      <c r="W257" s="167"/>
      <c r="X257" s="113"/>
      <c r="Y257" s="160"/>
      <c r="Z257" s="163"/>
      <c r="AA257" s="160"/>
    </row>
    <row r="258" spans="2:27" ht="48.75" customHeight="1" x14ac:dyDescent="0.3">
      <c r="B258" s="118" t="s">
        <v>97</v>
      </c>
      <c r="C258" s="168" t="s">
        <v>102</v>
      </c>
      <c r="D258" s="152" t="s">
        <v>204</v>
      </c>
      <c r="E258" s="9" t="s">
        <v>80</v>
      </c>
      <c r="F258" s="101">
        <f>Rates!N63</f>
        <v>0.02</v>
      </c>
      <c r="G258" s="171" t="s">
        <v>81</v>
      </c>
      <c r="H258" s="161"/>
      <c r="I258" s="133">
        <f>1.027*((H258*$F258*$F259)+ IF(0&gt;=H258,0,[1]Rates!$O$62))</f>
        <v>0</v>
      </c>
      <c r="J258" s="161">
        <v>0</v>
      </c>
      <c r="K258" s="166">
        <f>1.056*((J258*$F258*$F259)+(J259*$F259))</f>
        <v>0</v>
      </c>
      <c r="L258" s="156">
        <v>0</v>
      </c>
      <c r="M258" s="166">
        <f>1.083*((L258*$F258*$F259)+(L259*$F259))</f>
        <v>0</v>
      </c>
      <c r="N258" s="161">
        <v>0</v>
      </c>
      <c r="O258" s="166">
        <f>1.11*((N258*$F258*$F259)+(N259*$F259))</f>
        <v>0</v>
      </c>
      <c r="P258" s="156">
        <v>0</v>
      </c>
      <c r="Q258" s="166">
        <f>1.14*((P258*$F258*$F259)+(P259*$F259))</f>
        <v>0</v>
      </c>
      <c r="R258" s="161">
        <v>0</v>
      </c>
      <c r="S258" s="166">
        <f>1.172*((R258*$F258*$F259)+(R259*$F259))</f>
        <v>0</v>
      </c>
      <c r="T258" s="156">
        <v>0</v>
      </c>
      <c r="U258" s="166">
        <f>1.206*((T258*$F258*$F259)+(T259*$F259))</f>
        <v>0</v>
      </c>
      <c r="V258" s="161">
        <v>0</v>
      </c>
      <c r="W258" s="166">
        <f>1.242*((V258*$F258*$F259)+(V259*$F259))</f>
        <v>0</v>
      </c>
      <c r="X258" s="156">
        <v>0</v>
      </c>
      <c r="Y258" s="159">
        <f>(X258*$F258*$F259)+ IF(0&gt;=X258,0,[1]Rates!$O$62)</f>
        <v>0</v>
      </c>
      <c r="Z258" s="161">
        <v>0</v>
      </c>
      <c r="AA258" s="159">
        <f>(Z258*$F258*$F259)+ IF(0&gt;=Z258,0,[1]Rates!$O$62)</f>
        <v>0</v>
      </c>
    </row>
    <row r="259" spans="2:27" ht="48.75" customHeight="1" thickBot="1" x14ac:dyDescent="0.35">
      <c r="B259" s="119"/>
      <c r="C259" s="169"/>
      <c r="D259" s="170"/>
      <c r="E259" s="14" t="s">
        <v>82</v>
      </c>
      <c r="F259" s="102">
        <f>Rates!O63</f>
        <v>2993</v>
      </c>
      <c r="G259" s="172"/>
      <c r="H259" s="163"/>
      <c r="I259" s="160"/>
      <c r="J259" s="163"/>
      <c r="K259" s="167"/>
      <c r="L259" s="158"/>
      <c r="M259" s="167"/>
      <c r="N259" s="163"/>
      <c r="O259" s="167"/>
      <c r="P259" s="158"/>
      <c r="Q259" s="167"/>
      <c r="R259" s="163"/>
      <c r="S259" s="167"/>
      <c r="T259" s="158"/>
      <c r="U259" s="167"/>
      <c r="V259" s="163"/>
      <c r="W259" s="167"/>
      <c r="X259" s="158"/>
      <c r="Y259" s="160"/>
      <c r="Z259" s="163"/>
      <c r="AA259" s="160"/>
    </row>
    <row r="260" spans="2:27" ht="48.75" customHeight="1" x14ac:dyDescent="0.3">
      <c r="B260" s="119"/>
      <c r="C260" s="168" t="s">
        <v>90</v>
      </c>
      <c r="D260" s="152" t="s">
        <v>205</v>
      </c>
      <c r="E260" s="9" t="s">
        <v>80</v>
      </c>
      <c r="F260" s="101">
        <f>Rates!N64</f>
        <v>0.02</v>
      </c>
      <c r="G260" s="171" t="s">
        <v>81</v>
      </c>
      <c r="H260" s="161"/>
      <c r="I260" s="133">
        <f>1.027*((H260*$F260*$F261)+ IF(0&gt;=H260,0,[1]Rates!$O$62))</f>
        <v>0</v>
      </c>
      <c r="J260" s="161">
        <v>0</v>
      </c>
      <c r="K260" s="166">
        <f>1.056*((J260*$F260*$F261)+(J261*$F261))</f>
        <v>0</v>
      </c>
      <c r="L260" s="156">
        <v>0</v>
      </c>
      <c r="M260" s="166">
        <f>1.083*((L260*$F260*$F261)+(L261*$F261))</f>
        <v>0</v>
      </c>
      <c r="N260" s="161">
        <v>0</v>
      </c>
      <c r="O260" s="166">
        <f>1.11*((N260*$F260*$F261)+(N261*$F261))</f>
        <v>0</v>
      </c>
      <c r="P260" s="156">
        <v>0</v>
      </c>
      <c r="Q260" s="166">
        <f>1.14*((P260*$F260*$F261)+(P261*$F261))</f>
        <v>0</v>
      </c>
      <c r="R260" s="161">
        <v>0</v>
      </c>
      <c r="S260" s="166">
        <f>1.172*((R260*$F260*$F261)+(R261*$F261))</f>
        <v>0</v>
      </c>
      <c r="T260" s="156">
        <v>0</v>
      </c>
      <c r="U260" s="166">
        <f>1.206*((T260*$F260*$F261)+(T261*$F261))</f>
        <v>0</v>
      </c>
      <c r="V260" s="161">
        <v>0</v>
      </c>
      <c r="W260" s="166">
        <f>1.242*((V260*$F260*$F261)+(V261*$F261))</f>
        <v>0</v>
      </c>
      <c r="X260" s="156">
        <v>0</v>
      </c>
      <c r="Y260" s="159">
        <f>(X260*$F260*$F261)+ IF(0&gt;=X260,0,[1]Rates!$O$62)</f>
        <v>0</v>
      </c>
      <c r="Z260" s="161">
        <v>0</v>
      </c>
      <c r="AA260" s="159">
        <f>(Z260*$F260*$F261)+ IF(0&gt;=Z260,0,[1]Rates!$O$62)</f>
        <v>0</v>
      </c>
    </row>
    <row r="261" spans="2:27" ht="48.75" customHeight="1" thickBot="1" x14ac:dyDescent="0.35">
      <c r="B261" s="119"/>
      <c r="C261" s="169"/>
      <c r="D261" s="170"/>
      <c r="E261" s="14" t="s">
        <v>82</v>
      </c>
      <c r="F261" s="102">
        <f>Rates!O64</f>
        <v>2993</v>
      </c>
      <c r="G261" s="172"/>
      <c r="H261" s="163"/>
      <c r="I261" s="160"/>
      <c r="J261" s="163"/>
      <c r="K261" s="167"/>
      <c r="L261" s="158"/>
      <c r="M261" s="167"/>
      <c r="N261" s="163"/>
      <c r="O261" s="167"/>
      <c r="P261" s="158"/>
      <c r="Q261" s="167"/>
      <c r="R261" s="163"/>
      <c r="S261" s="167"/>
      <c r="T261" s="158"/>
      <c r="U261" s="167"/>
      <c r="V261" s="163"/>
      <c r="W261" s="167"/>
      <c r="X261" s="158"/>
      <c r="Y261" s="160"/>
      <c r="Z261" s="163"/>
      <c r="AA261" s="160"/>
    </row>
    <row r="262" spans="2:27" ht="48.75" customHeight="1" x14ac:dyDescent="0.3">
      <c r="B262" s="119"/>
      <c r="C262" s="168" t="s">
        <v>91</v>
      </c>
      <c r="D262" s="152" t="s">
        <v>210</v>
      </c>
      <c r="E262" s="9" t="s">
        <v>80</v>
      </c>
      <c r="F262" s="101">
        <f>Rates!N65</f>
        <v>0.02</v>
      </c>
      <c r="G262" s="171" t="s">
        <v>81</v>
      </c>
      <c r="H262" s="161"/>
      <c r="I262" s="133">
        <f>1.027*((H262*$F262*$F263)+ IF(0&gt;=H262,0,[1]Rates!$O$62))</f>
        <v>0</v>
      </c>
      <c r="J262" s="161">
        <v>0</v>
      </c>
      <c r="K262" s="166">
        <f>1.056*((J262*$F262*$F263)+(J263*$F263))</f>
        <v>0</v>
      </c>
      <c r="L262" s="156">
        <v>0</v>
      </c>
      <c r="M262" s="166">
        <f>1.083*((L262*$F262*$F263)+(L263*$F263))</f>
        <v>0</v>
      </c>
      <c r="N262" s="161">
        <v>0</v>
      </c>
      <c r="O262" s="166">
        <f>1.11*((N262*$F262*$F263)+(N263*$F263))</f>
        <v>0</v>
      </c>
      <c r="P262" s="156">
        <v>0</v>
      </c>
      <c r="Q262" s="166">
        <f>1.14*((P262*$F262*$F263)+(P263*$F263))</f>
        <v>0</v>
      </c>
      <c r="R262" s="161">
        <v>0</v>
      </c>
      <c r="S262" s="166">
        <f>1.172*((R262*$F262*$F263)+(R263*$F263))</f>
        <v>0</v>
      </c>
      <c r="T262" s="156">
        <v>0</v>
      </c>
      <c r="U262" s="166">
        <f>1.206*((T262*$F262*$F263)+(T263*$F263))</f>
        <v>0</v>
      </c>
      <c r="V262" s="161">
        <v>0</v>
      </c>
      <c r="W262" s="166">
        <f>1.242*((V262*$F262*$F263)+(V263*$F263))</f>
        <v>0</v>
      </c>
      <c r="X262" s="156">
        <v>0</v>
      </c>
      <c r="Y262" s="159">
        <f>(X262*$F262*$F263)+ IF(0&gt;=X262,0,[1]Rates!$O$62)</f>
        <v>0</v>
      </c>
      <c r="Z262" s="161">
        <v>0</v>
      </c>
      <c r="AA262" s="159">
        <f>(Z262*$F262*$F263)+ IF(0&gt;=Z262,0,[1]Rates!$O$62)</f>
        <v>0</v>
      </c>
    </row>
    <row r="263" spans="2:27" ht="48.75" customHeight="1" thickBot="1" x14ac:dyDescent="0.35">
      <c r="B263" s="120"/>
      <c r="C263" s="169"/>
      <c r="D263" s="170"/>
      <c r="E263" s="14" t="s">
        <v>82</v>
      </c>
      <c r="F263" s="102">
        <f>Rates!O65</f>
        <v>2993</v>
      </c>
      <c r="G263" s="172"/>
      <c r="H263" s="163"/>
      <c r="I263" s="160"/>
      <c r="J263" s="163"/>
      <c r="K263" s="167"/>
      <c r="L263" s="158"/>
      <c r="M263" s="167"/>
      <c r="N263" s="163"/>
      <c r="O263" s="167"/>
      <c r="P263" s="158"/>
      <c r="Q263" s="167"/>
      <c r="R263" s="163"/>
      <c r="S263" s="167"/>
      <c r="T263" s="158"/>
      <c r="U263" s="167"/>
      <c r="V263" s="163"/>
      <c r="W263" s="167"/>
      <c r="X263" s="158"/>
      <c r="Y263" s="160"/>
      <c r="Z263" s="163"/>
      <c r="AA263" s="160"/>
    </row>
    <row r="264" spans="2:27" ht="93.75" customHeight="1" thickBot="1" x14ac:dyDescent="0.35">
      <c r="B264" s="103" t="s">
        <v>262</v>
      </c>
      <c r="C264" s="106" t="s">
        <v>91</v>
      </c>
      <c r="D264" s="107" t="s">
        <v>263</v>
      </c>
      <c r="E264" s="108" t="s">
        <v>264</v>
      </c>
      <c r="F264" s="102">
        <f>Rates!N78</f>
        <v>1000</v>
      </c>
      <c r="G264" s="109" t="s">
        <v>265</v>
      </c>
      <c r="H264" s="104"/>
      <c r="I264" s="110">
        <f>1.027*(H264*$F264)</f>
        <v>0</v>
      </c>
      <c r="J264" s="104"/>
      <c r="K264" s="110">
        <f>1.027*(J264*$F264)</f>
        <v>0</v>
      </c>
      <c r="L264" s="105"/>
      <c r="M264" s="110">
        <f>1.083*(L264*$F264)</f>
        <v>0</v>
      </c>
      <c r="N264" s="104"/>
      <c r="O264" s="110">
        <f>1.11*(N264*$F264)</f>
        <v>0</v>
      </c>
      <c r="P264" s="105"/>
      <c r="Q264" s="110">
        <f>1.14*(P264*$F264)</f>
        <v>0</v>
      </c>
      <c r="R264" s="104"/>
      <c r="S264" s="110">
        <f>1.172*(R264*$F264)</f>
        <v>0</v>
      </c>
      <c r="T264" s="105"/>
      <c r="U264" s="110">
        <f>1.206*(T264*$F264)</f>
        <v>0</v>
      </c>
      <c r="V264" s="104"/>
      <c r="W264" s="110">
        <f>1.242*(V264*$F264)</f>
        <v>0</v>
      </c>
      <c r="X264" s="105"/>
      <c r="Y264" s="111"/>
      <c r="Z264" s="104"/>
      <c r="AA264" s="110"/>
    </row>
    <row r="265" spans="2:27" ht="42.75" customHeight="1" x14ac:dyDescent="0.3">
      <c r="B265" s="118" t="s">
        <v>83</v>
      </c>
      <c r="C265" s="150" t="s">
        <v>270</v>
      </c>
      <c r="D265" s="152" t="s">
        <v>206</v>
      </c>
      <c r="E265" s="9" t="s">
        <v>84</v>
      </c>
      <c r="F265" s="26">
        <v>275000</v>
      </c>
      <c r="G265" s="27" t="s">
        <v>85</v>
      </c>
      <c r="H265" s="28"/>
      <c r="I265" s="159">
        <f>1.027*(($F$265*H265)+($F$266*H266))</f>
        <v>0</v>
      </c>
      <c r="J265" s="28">
        <v>0</v>
      </c>
      <c r="K265" s="159">
        <f>1.056*(($F$265*J265)+($F$266*J266))</f>
        <v>0</v>
      </c>
      <c r="L265" s="29">
        <v>0</v>
      </c>
      <c r="M265" s="159">
        <f>1.083*(($F$265*L265)+($F$266*L266))</f>
        <v>0</v>
      </c>
      <c r="N265" s="28">
        <v>0</v>
      </c>
      <c r="O265" s="159">
        <f>1.11*(($F$265*N265)+($F$266*N266))</f>
        <v>0</v>
      </c>
      <c r="P265" s="29">
        <v>0</v>
      </c>
      <c r="Q265" s="159">
        <f>1.14*(($F$265*P265)+($F$266*P266))</f>
        <v>0</v>
      </c>
      <c r="R265" s="28">
        <v>0</v>
      </c>
      <c r="S265" s="159">
        <f>1.172*(($F$265*R265)+($F$266*R266))</f>
        <v>0</v>
      </c>
      <c r="T265" s="29">
        <v>0</v>
      </c>
      <c r="U265" s="159">
        <f>1.206*(($F$265*T265)+($F$266*T266))</f>
        <v>0</v>
      </c>
      <c r="V265" s="28">
        <v>0</v>
      </c>
      <c r="W265" s="159">
        <f>1.242*(($F$265*V265)+($F$266*V266))</f>
        <v>0</v>
      </c>
      <c r="X265" s="29">
        <v>0</v>
      </c>
      <c r="Y265" s="175">
        <f>($F$265*X265)+($F$266*X266)</f>
        <v>0</v>
      </c>
      <c r="Z265" s="28">
        <v>0</v>
      </c>
      <c r="AA265" s="159">
        <f>($F$265*Z265)+($F$266*Z266)</f>
        <v>0</v>
      </c>
    </row>
    <row r="266" spans="2:27" ht="54.75" customHeight="1" thickBot="1" x14ac:dyDescent="0.35">
      <c r="B266" s="120"/>
      <c r="C266" s="174"/>
      <c r="D266" s="173"/>
      <c r="E266" s="14" t="s">
        <v>86</v>
      </c>
      <c r="F266" s="15">
        <v>100000</v>
      </c>
      <c r="G266" s="30" t="s">
        <v>87</v>
      </c>
      <c r="H266" s="31"/>
      <c r="I266" s="160"/>
      <c r="J266" s="31">
        <v>0</v>
      </c>
      <c r="K266" s="160"/>
      <c r="L266" s="32">
        <v>0</v>
      </c>
      <c r="M266" s="160"/>
      <c r="N266" s="31">
        <v>0</v>
      </c>
      <c r="O266" s="160"/>
      <c r="P266" s="32">
        <v>0</v>
      </c>
      <c r="Q266" s="160"/>
      <c r="R266" s="31">
        <v>0</v>
      </c>
      <c r="S266" s="160"/>
      <c r="T266" s="32">
        <v>0</v>
      </c>
      <c r="U266" s="160"/>
      <c r="V266" s="31">
        <v>0</v>
      </c>
      <c r="W266" s="160"/>
      <c r="X266" s="32">
        <v>0</v>
      </c>
      <c r="Y266" s="176"/>
      <c r="Z266" s="31">
        <v>0</v>
      </c>
      <c r="AA266" s="160"/>
    </row>
    <row r="267" spans="2:27" ht="39.9" customHeight="1" thickBot="1" x14ac:dyDescent="0.35">
      <c r="C267" s="164" t="s">
        <v>103</v>
      </c>
      <c r="D267" s="165"/>
      <c r="E267" s="165"/>
      <c r="F267" s="165"/>
      <c r="G267" s="165"/>
      <c r="H267" s="116">
        <f>I5+I23+I41+I59+I77+I95+I113+I119+I137+I149+I153+I165+I183+I201+I213+I216+I222+I228+I234+I240+I246+I252+I258</f>
        <v>0</v>
      </c>
      <c r="I267" s="117"/>
      <c r="J267" s="116">
        <f>K5+K11+K23+K59+K65+K77+K95+K113+K119+K137+K149+K153+K165+K177+K201+K205+K207+K213+K228+K234+K240+K246+K252+K258+K265</f>
        <v>0</v>
      </c>
      <c r="K267" s="117"/>
      <c r="L267" s="116">
        <f>M5+M11+M23+M59+M65+M77+M95+M113+M119+M137+M149+M153+M165+M177+M201+M205+M207+M213+M228+M234+M240+M246+M252+M258+M265</f>
        <v>0</v>
      </c>
      <c r="M267" s="117"/>
      <c r="N267" s="116">
        <f>O5+O11+O23+O59+O65+O77+O95+O113+O119+O137+O149+O153+O165+O177+O201+O205+O207+O213+O228+O234+O240+O246+O252+O258+O265</f>
        <v>0</v>
      </c>
      <c r="O267" s="117"/>
      <c r="P267" s="116">
        <f>Q5+Q11+Q23+Q59+Q65+Q77+Q95+Q113+Q119+Q137+Q149+Q153+Q165+Q177+Q201+Q205+Q207+Q213+Q228+Q234+Q240+Q246+Q252+Q258+Q265</f>
        <v>0</v>
      </c>
      <c r="Q267" s="117"/>
      <c r="R267" s="116">
        <f>S5+S11+S23+S59+S65+S77+S95+S113+S119+S137+S149+S153+S165+S177+S201+S205+S207+S213+S228+S234+S240+S246+S252+S258+S265</f>
        <v>0</v>
      </c>
      <c r="S267" s="117"/>
      <c r="T267" s="116">
        <f>U5+U11+U23+U59+U65+U77+U95+U113+U119+U137+U149+U153+U165+U177+U201+U205+U207+U213+U228+U234+U240+U246+U252+U258+U265</f>
        <v>0</v>
      </c>
      <c r="U267" s="117"/>
      <c r="V267" s="116">
        <f>W5+W11+W23+W59+W65+W77+W95+W113+W119+W137+W149+W153+W165+W177+W201+W205+W207+W213+W228+W234+W240+W246+W252+W258+W265</f>
        <v>0</v>
      </c>
      <c r="W267" s="117"/>
      <c r="X267" s="116">
        <f>Y5+Y11+Y23+Y59+Y65+Y77+Y95+Y113+Y119+Y137+Y149+Y153+Y165+Y177+Y201+Y205+Y207+Y213+Y228+Y234+Y240+Y246+Y252+Y258+Y265</f>
        <v>0</v>
      </c>
      <c r="Y267" s="117"/>
      <c r="Z267" s="116">
        <f>AA5+AA11+AA23+AA59+AA65+AA77+AA95+AA113+AA119+AA137+AA149+AA153+AA165+AA177+AA201+AA205+AA207+AA213+AA228+AA234+AA240+AA246+AA252+AA258+AA265</f>
        <v>0</v>
      </c>
      <c r="AA267" s="117"/>
    </row>
    <row r="268" spans="2:27" ht="39.9" customHeight="1" thickBot="1" x14ac:dyDescent="0.35">
      <c r="C268" s="164" t="s">
        <v>104</v>
      </c>
      <c r="D268" s="165"/>
      <c r="E268" s="165"/>
      <c r="F268" s="165"/>
      <c r="G268" s="165"/>
      <c r="H268" s="116">
        <f>I11+I29+I47+I65+I83+I101+I115+I125+I159+I171+I189+I205+I214+I218+I224+I230+I236+I242+I248+I254+I260</f>
        <v>0</v>
      </c>
      <c r="I268" s="117"/>
      <c r="J268" s="116">
        <f>K6+K12+K24+K60+K66+K78+K96+K114+K120+K138+K150+K154+K166+K178+K202+K206+K208+K214+K229+K235+K241+K247+K253+K259+K266</f>
        <v>0</v>
      </c>
      <c r="K268" s="117"/>
      <c r="L268" s="116">
        <f>M6+M12+M24+M60+M66+M78+M96+M114+M120+M138+M150+M154+M166+M178+M202+M206+M208+M214+M229+M235+M241+M247+M253+M259+M266</f>
        <v>0</v>
      </c>
      <c r="M268" s="117"/>
      <c r="N268" s="116">
        <f>O6+O12+O24+O60+O66+O78+O96+O114+O120+O138+O150+O154+O166+O178+O202+O206+O208+O214+O229+O235+O241+O247+O253+O259+O266</f>
        <v>0</v>
      </c>
      <c r="O268" s="117"/>
      <c r="P268" s="116">
        <f>Q6+Q12+Q24+Q60+Q66+Q78+Q96+Q114+Q120+Q138+Q150+Q154+Q166+Q178+Q202+Q206+Q208+Q214+Q229+Q235+Q241+Q247+Q253+Q259+Q266</f>
        <v>0</v>
      </c>
      <c r="Q268" s="117"/>
      <c r="R268" s="116">
        <f>S6+S12+S24+S60+S66+S78+S96+S114+S120+S138+S150+S154+S166+S178+S202+S206+S208+S214+S229+S235+S241+S247+S253+S259+S266</f>
        <v>0</v>
      </c>
      <c r="S268" s="117"/>
      <c r="T268" s="116">
        <f>U6+U12+U24+U60+U66+U78+U96+U114+U120+U138+U150+U154+U166+U178+U202+U206+U208+U214+U229+U235+U241+U247+U253+U259+U266</f>
        <v>0</v>
      </c>
      <c r="U268" s="117"/>
      <c r="V268" s="116">
        <f>W6+W12+W24+W60+W66+W78+W96+W114+W120+W138+W150+W154+W166+W178+W202+W206+W208+W214+W229+W235+W241+W247+W253+W259+W266</f>
        <v>0</v>
      </c>
      <c r="W268" s="117"/>
      <c r="X268" s="116">
        <f>Y6+Y12+Y24+Y60+Y66+Y78+Y96+Y114+Y120+Y138+Y150+Y154+Y166+Y178+Y202+Y206+Y208+Y214+Y229+Y235+Y241+Y247+Y253+Y259+Y266</f>
        <v>0</v>
      </c>
      <c r="Y268" s="117"/>
      <c r="Z268" s="116">
        <f>AA6+AA12+AA24+AA60+AA66+AA78+AA96+AA114+AA120+AA138+AA150+AA154+AA166+AA178+AA202+AA206+AA208+AA214+AA229+AA235+AA241+AA247+AA253+AA259+AA266</f>
        <v>0</v>
      </c>
      <c r="AA268" s="117"/>
    </row>
    <row r="269" spans="2:27" ht="39.9" customHeight="1" thickBot="1" x14ac:dyDescent="0.35">
      <c r="C269" s="164" t="s">
        <v>268</v>
      </c>
      <c r="D269" s="165"/>
      <c r="E269" s="165"/>
      <c r="F269" s="165"/>
      <c r="G269" s="165"/>
      <c r="H269" s="116">
        <f>I265</f>
        <v>0</v>
      </c>
      <c r="I269" s="117"/>
      <c r="J269" s="116">
        <f>K7+K13+K25+K61+K67+K79+K97+K115+K121+K139+K151+K155+K167+K179+K203+K207+K209+K215+K230+K236+K242+K248+K254+K260+K267</f>
        <v>0</v>
      </c>
      <c r="K269" s="117"/>
      <c r="L269" s="116">
        <f>M7+M13+M25+M61+M67+M79+M97+M115+M121+M139+M151+M155+M167+M179+M203+M207+M209+M215+M230+M236+M242+M248+M254+M260+M267</f>
        <v>0</v>
      </c>
      <c r="M269" s="117"/>
      <c r="N269" s="116">
        <f>O7+O13+O25+O61+O67+O79+O97+O115+O121+O139+O151+O155+O167+O179+O203+O207+O209+O215+O230+O236+O242+O248+O254+O260+O267</f>
        <v>0</v>
      </c>
      <c r="O269" s="117"/>
      <c r="P269" s="116">
        <f>Q7+Q13+Q25+Q61+Q67+Q79+Q97+Q115+Q121+Q139+Q151+Q155+Q167+Q179+Q203+Q207+Q209+Q215+Q230+Q236+Q242+Q248+Q254+Q260+Q267</f>
        <v>0</v>
      </c>
      <c r="Q269" s="117"/>
      <c r="R269" s="116">
        <f>S7+S13+S25+S61+S67+S79+S97+S115+S121+S139+S151+S155+S167+S179+S203+S207+S209+S215+S230+S236+S242+S248+S254+S260+S267</f>
        <v>0</v>
      </c>
      <c r="S269" s="117"/>
      <c r="T269" s="116">
        <f>U7+U13+U25+U61+U67+U79+U97+U115+U121+U139+U151+U155+U167+U179+U203+U207+U209+U215+U230+U236+U242+U248+U254+U260+U267</f>
        <v>0</v>
      </c>
      <c r="U269" s="117"/>
      <c r="V269" s="116">
        <f>W7+W13+W25+W61+W67+W79+W97+W115+W121+W139+W151+W155+W167+W179+W203+W207+W209+W215+W230+W236+W242+W248+W254+W260+W267</f>
        <v>0</v>
      </c>
      <c r="W269" s="117"/>
      <c r="X269" s="116">
        <f>Y7+Y13+Y25+Y61+Y67+Y79+Y97+Y115+Y121+Y139+Y151+Y155+Y167+Y179+Y203+Y207+Y209+Y215+Y230+Y236+Y242+Y248+Y254+Y260+Y267</f>
        <v>0</v>
      </c>
      <c r="Y269" s="117"/>
      <c r="Z269" s="116">
        <f>AA7+AA13+AA25+AA61+AA67+AA79+AA97+AA115+AA121+AA139+AA151+AA155+AA167+AA179+AA203+AA207+AA209+AA215+AA230+AA236+AA242+AA248+AA254+AA260+AA267</f>
        <v>0</v>
      </c>
      <c r="AA269" s="117"/>
    </row>
    <row r="270" spans="2:27" ht="39.9" customHeight="1" thickBot="1" x14ac:dyDescent="0.35">
      <c r="C270" s="164" t="s">
        <v>269</v>
      </c>
      <c r="D270" s="165"/>
      <c r="E270" s="165"/>
      <c r="F270" s="165"/>
      <c r="G270" s="165"/>
      <c r="H270" s="116">
        <f>H267+H268+H269</f>
        <v>0</v>
      </c>
      <c r="I270" s="117"/>
      <c r="J270" s="116">
        <f>K7+K13+K25+K61+K67+K79+K97+K115+K121+K139+K151+K155+K167+K179+K203+K207+K209+K215+K230+K236+K242+K248+K254+K260+K267</f>
        <v>0</v>
      </c>
      <c r="K270" s="117"/>
      <c r="L270" s="116">
        <f>M7+M13+M25+M61+M67+M79+M97+M115+M121+M139+M151+M155+M167+M179+M203+M207+M209+M215+M230+M236+M242+M248+M254+M260+M267</f>
        <v>0</v>
      </c>
      <c r="M270" s="117"/>
      <c r="N270" s="116">
        <f>O7+O13+O25+O61+O67+O79+O97+O115+O121+O139+O151+O155+O167+O179+O203+O207+O209+O215+O230+O236+O242+O248+O254+O260+O267</f>
        <v>0</v>
      </c>
      <c r="O270" s="117"/>
      <c r="P270" s="116">
        <f>Q7+Q13+Q25+Q61+Q67+Q79+Q97+Q115+Q121+Q139+Q151+Q155+Q167+Q179+Q203+Q207+Q209+Q215+Q230+Q236+Q242+Q248+Q254+Q260+Q267</f>
        <v>0</v>
      </c>
      <c r="Q270" s="117"/>
      <c r="R270" s="116">
        <f>S7+S13+S25+S61+S67+S79+S97+S115+S121+S139+S151+S155+S167+S179+S203+S207+S209+S215+S230+S236+S242+S248+S254+S260+S267</f>
        <v>0</v>
      </c>
      <c r="S270" s="117"/>
      <c r="T270" s="116">
        <f>U7+U13+U25+U61+U67+U79+U97+U115+U121+U139+U151+U155+U167+U179+U203+U207+U209+U215+U230+U236+U242+U248+U254+U260+U267</f>
        <v>0</v>
      </c>
      <c r="U270" s="117"/>
      <c r="V270" s="116">
        <f>W7+W13+W25+W61+W67+W79+W97+W115+W121+W139+W151+W155+W167+W179+W203+W207+W209+W215+W230+W236+W242+W248+W254+W260+W267</f>
        <v>0</v>
      </c>
      <c r="W270" s="117"/>
      <c r="X270" s="116">
        <f>Y7+Y13+Y25+Y61+Y67+Y79+Y97+Y115+Y121+Y139+Y151+Y155+Y167+Y179+Y203+Y207+Y209+Y215+Y230+Y236+Y242+Y248+Y254+Y260+Y267</f>
        <v>0</v>
      </c>
      <c r="Y270" s="117"/>
      <c r="Z270" s="116">
        <f>AA7+AA13+AA25+AA61+AA67+AA79+AA97+AA115+AA121+AA139+AA151+AA155+AA167+AA179+AA203+AA207+AA209+AA215+AA230+AA236+AA242+AA248+AA254+AA260+AA267</f>
        <v>0</v>
      </c>
      <c r="AA270" s="117"/>
    </row>
    <row r="271" spans="2:27" ht="39.9" customHeight="1" thickBot="1" x14ac:dyDescent="0.35">
      <c r="C271" s="164" t="s">
        <v>88</v>
      </c>
      <c r="D271" s="165"/>
      <c r="E271" s="165"/>
      <c r="F271" s="165"/>
      <c r="G271" s="165"/>
      <c r="H271" s="116">
        <f>I17+I35+I53+I71+I89+I107+I117+I131+I143+I177+I195+I209+I215+I220+I226+I232+I238+I244+I250+I256+I262+I264</f>
        <v>0</v>
      </c>
      <c r="I271" s="117"/>
      <c r="J271" s="116">
        <f t="shared" ref="J271" si="0">K17+K35+K53+K71</f>
        <v>0</v>
      </c>
      <c r="K271" s="117"/>
      <c r="L271" s="116">
        <f t="shared" ref="L271" si="1">M17+M35+M53+M71</f>
        <v>0</v>
      </c>
      <c r="M271" s="117"/>
      <c r="N271" s="116">
        <f t="shared" ref="N271" si="2">O17+O35+O53+O71</f>
        <v>0</v>
      </c>
      <c r="O271" s="117"/>
      <c r="P271" s="116">
        <f t="shared" ref="P271" si="3">Q17+Q35+Q53+Q71</f>
        <v>0</v>
      </c>
      <c r="Q271" s="117"/>
      <c r="R271" s="116">
        <f t="shared" ref="R271" si="4">S17+S35+S53+S71</f>
        <v>0</v>
      </c>
      <c r="S271" s="117"/>
      <c r="T271" s="116">
        <f t="shared" ref="T271" si="5">U17+U35+U53+U71</f>
        <v>0</v>
      </c>
      <c r="U271" s="117"/>
      <c r="V271" s="116">
        <f t="shared" ref="V271" si="6">W17+W35+W53+W71</f>
        <v>0</v>
      </c>
      <c r="W271" s="117"/>
      <c r="X271" s="116">
        <f t="shared" ref="X271" si="7">Y17+Y35+Y53+Y71</f>
        <v>0</v>
      </c>
      <c r="Y271" s="117"/>
      <c r="Z271" s="116">
        <f t="shared" ref="Z271" si="8">AA17+AA35+AA53+AA71</f>
        <v>0</v>
      </c>
      <c r="AA271" s="117"/>
    </row>
    <row r="272" spans="2:27" ht="39.9" customHeight="1" thickBot="1" x14ac:dyDescent="0.35">
      <c r="C272" s="164" t="s">
        <v>89</v>
      </c>
      <c r="D272" s="165"/>
      <c r="E272" s="165"/>
      <c r="F272" s="165"/>
      <c r="G272" s="165"/>
      <c r="H272" s="116">
        <f>H271+H270</f>
        <v>0</v>
      </c>
      <c r="I272" s="117"/>
      <c r="J272" s="116">
        <f>SUM(J267:K271)</f>
        <v>0</v>
      </c>
      <c r="K272" s="117"/>
      <c r="L272" s="116">
        <f>SUM(L267:M271)</f>
        <v>0</v>
      </c>
      <c r="M272" s="117"/>
      <c r="N272" s="116">
        <f>SUM(N267:O271)</f>
        <v>0</v>
      </c>
      <c r="O272" s="117"/>
      <c r="P272" s="116">
        <f>SUM(P267:Q271)</f>
        <v>0</v>
      </c>
      <c r="Q272" s="117"/>
      <c r="R272" s="116">
        <f>SUM(R267:S271)</f>
        <v>0</v>
      </c>
      <c r="S272" s="117"/>
      <c r="T272" s="116">
        <f>SUM(T267:U271)</f>
        <v>0</v>
      </c>
      <c r="U272" s="117"/>
      <c r="V272" s="116">
        <f>SUM(V267:W271)</f>
        <v>0</v>
      </c>
      <c r="W272" s="117"/>
      <c r="X272" s="116">
        <f>SUM(X267:Y271)</f>
        <v>0</v>
      </c>
      <c r="Y272" s="117"/>
      <c r="Z272" s="116">
        <f>SUM(Z267:AA271)</f>
        <v>0</v>
      </c>
      <c r="AA272" s="117"/>
    </row>
    <row r="273" spans="3:29" ht="23.4" x14ac:dyDescent="0.45">
      <c r="C273" s="33"/>
      <c r="I273" s="34"/>
      <c r="J273" s="5"/>
      <c r="K273" s="34"/>
      <c r="L273" s="5"/>
      <c r="M273" s="35"/>
      <c r="N273" s="5"/>
      <c r="O273" s="35"/>
      <c r="P273" s="5"/>
      <c r="Q273" s="34"/>
      <c r="R273" s="5"/>
      <c r="S273" s="35"/>
      <c r="T273" s="5"/>
      <c r="U273" s="35"/>
      <c r="V273" s="5"/>
      <c r="W273" s="35"/>
      <c r="X273" s="5"/>
      <c r="Y273" s="35"/>
      <c r="Z273" s="5"/>
      <c r="AA273" s="35"/>
    </row>
    <row r="274" spans="3:29" ht="23.4" x14ac:dyDescent="0.45">
      <c r="C274" s="33"/>
      <c r="I274" s="34"/>
      <c r="J274" s="34"/>
      <c r="K274" s="34"/>
      <c r="L274" s="34"/>
      <c r="M274" s="34"/>
      <c r="N274" s="5"/>
      <c r="O274" s="35"/>
      <c r="P274" s="5"/>
      <c r="Q274" s="34"/>
      <c r="R274" s="5"/>
      <c r="S274" s="35"/>
      <c r="T274" s="5"/>
      <c r="U274" s="35"/>
      <c r="V274" s="5"/>
      <c r="W274" s="35"/>
      <c r="X274" s="5"/>
      <c r="Y274" s="35"/>
      <c r="Z274" s="5"/>
      <c r="AA274" s="35"/>
    </row>
    <row r="275" spans="3:29" ht="21" x14ac:dyDescent="0.4">
      <c r="C275" s="36"/>
      <c r="E275" s="42"/>
    </row>
    <row r="276" spans="3:29" x14ac:dyDescent="0.3">
      <c r="C276" s="37"/>
      <c r="D276" s="38"/>
    </row>
    <row r="277" spans="3:29" x14ac:dyDescent="0.3">
      <c r="C277" s="37"/>
      <c r="D277" s="38"/>
    </row>
    <row r="278" spans="3:29" x14ac:dyDescent="0.3">
      <c r="C278" s="37"/>
      <c r="D278" s="38"/>
    </row>
    <row r="279" spans="3:29" x14ac:dyDescent="0.3">
      <c r="C279" s="37"/>
      <c r="D279" s="38"/>
    </row>
    <row r="280" spans="3:29" x14ac:dyDescent="0.3">
      <c r="C280" s="37"/>
      <c r="D280" s="38"/>
    </row>
    <row r="281" spans="3:29" x14ac:dyDescent="0.3">
      <c r="C281" s="37"/>
      <c r="D281" s="38"/>
    </row>
    <row r="282" spans="3:29" x14ac:dyDescent="0.3">
      <c r="C282" s="37"/>
      <c r="D282" s="39"/>
      <c r="E282" s="3"/>
      <c r="F282" s="3"/>
      <c r="G282" s="40"/>
      <c r="H282" s="41"/>
    </row>
    <row r="283" spans="3:29" x14ac:dyDescent="0.3">
      <c r="D283" s="3"/>
      <c r="E283" s="3"/>
      <c r="F283" s="3"/>
      <c r="G283" s="40"/>
      <c r="H283" s="41"/>
    </row>
    <row r="284" spans="3:29" x14ac:dyDescent="0.3">
      <c r="D284" s="3"/>
      <c r="E284" s="3"/>
      <c r="F284" s="3"/>
      <c r="G284" s="40"/>
      <c r="H284" s="41"/>
    </row>
    <row r="285" spans="3:29" x14ac:dyDescent="0.3">
      <c r="D285" s="3"/>
      <c r="E285" s="3"/>
      <c r="F285" s="3"/>
      <c r="G285" s="40"/>
      <c r="H285" s="41"/>
    </row>
    <row r="286" spans="3:29" x14ac:dyDescent="0.3">
      <c r="D286" s="3"/>
      <c r="E286" s="3"/>
      <c r="F286" s="3"/>
      <c r="G286" s="40"/>
      <c r="H286" s="41"/>
    </row>
    <row r="287" spans="3:29" s="4" customFormat="1" x14ac:dyDescent="0.3">
      <c r="C287"/>
      <c r="D287" s="3"/>
      <c r="E287" s="3"/>
      <c r="F287" s="3"/>
      <c r="G287" s="40"/>
      <c r="H287" s="41"/>
      <c r="I287"/>
      <c r="J287"/>
      <c r="K287"/>
      <c r="L287"/>
      <c r="M287"/>
      <c r="N287"/>
      <c r="O287"/>
      <c r="P287"/>
      <c r="Q287"/>
      <c r="R287"/>
      <c r="S287"/>
      <c r="T287"/>
      <c r="U287"/>
      <c r="V287"/>
      <c r="W287"/>
      <c r="X287"/>
      <c r="Y287"/>
      <c r="Z287"/>
      <c r="AA287"/>
      <c r="AB287"/>
      <c r="AC287"/>
    </row>
    <row r="288" spans="3:29" x14ac:dyDescent="0.3">
      <c r="D288" s="3"/>
      <c r="E288" s="3"/>
      <c r="F288" s="3"/>
      <c r="G288" s="40"/>
      <c r="H288" s="41"/>
    </row>
    <row r="289" spans="3:29" s="4" customFormat="1" x14ac:dyDescent="0.3">
      <c r="C289"/>
      <c r="D289" s="3"/>
      <c r="E289" s="3"/>
      <c r="F289" s="3"/>
      <c r="G289" s="40"/>
      <c r="H289" s="41"/>
      <c r="I289"/>
      <c r="J289"/>
      <c r="K289"/>
      <c r="L289"/>
      <c r="M289"/>
      <c r="N289"/>
      <c r="O289"/>
      <c r="P289"/>
      <c r="Q289"/>
      <c r="R289"/>
      <c r="S289"/>
      <c r="T289"/>
      <c r="U289"/>
      <c r="V289"/>
      <c r="W289"/>
      <c r="X289"/>
      <c r="Y289"/>
      <c r="Z289"/>
      <c r="AA289"/>
      <c r="AB289"/>
      <c r="AC289"/>
    </row>
  </sheetData>
  <sheetProtection algorithmName="SHA-512" hashValue="v92a2KFTDXWKpSZQY72zm4eImPIECMacnjl7itMhfY+ByyZOuhelZJNbt2rXcR3vAhzHdOQUdgopQkqKWDVrGg==" saltValue="oPd5jXpLcvVDBRUZp7nt6g==" spinCount="100000" sheet="1" selectLockedCells="1"/>
  <mergeCells count="1958">
    <mergeCell ref="AA47:AA52"/>
    <mergeCell ref="G50:G52"/>
    <mergeCell ref="H50:H52"/>
    <mergeCell ref="J50:J52"/>
    <mergeCell ref="L50:L52"/>
    <mergeCell ref="N50:N52"/>
    <mergeCell ref="P50:P52"/>
    <mergeCell ref="R50:R52"/>
    <mergeCell ref="T50:T52"/>
    <mergeCell ref="V50:V52"/>
    <mergeCell ref="X50:X52"/>
    <mergeCell ref="Z50:Z52"/>
    <mergeCell ref="E51:E52"/>
    <mergeCell ref="F51:F52"/>
    <mergeCell ref="B41:B58"/>
    <mergeCell ref="C47:C52"/>
    <mergeCell ref="D47:D52"/>
    <mergeCell ref="G47:G49"/>
    <mergeCell ref="H47:H49"/>
    <mergeCell ref="I47:I52"/>
    <mergeCell ref="J47:J49"/>
    <mergeCell ref="K47:K52"/>
    <mergeCell ref="L47:L49"/>
    <mergeCell ref="M47:M52"/>
    <mergeCell ref="N47:N49"/>
    <mergeCell ref="O47:O52"/>
    <mergeCell ref="P47:P49"/>
    <mergeCell ref="Q47:Q52"/>
    <mergeCell ref="R47:R49"/>
    <mergeCell ref="V47:V49"/>
    <mergeCell ref="W47:W52"/>
    <mergeCell ref="X47:X49"/>
    <mergeCell ref="O5:O10"/>
    <mergeCell ref="R3:S3"/>
    <mergeCell ref="C2:AA2"/>
    <mergeCell ref="C3:C4"/>
    <mergeCell ref="D3:D4"/>
    <mergeCell ref="E3:F4"/>
    <mergeCell ref="G3:G4"/>
    <mergeCell ref="H3:I3"/>
    <mergeCell ref="J3:K3"/>
    <mergeCell ref="L3:M3"/>
    <mergeCell ref="N3:O3"/>
    <mergeCell ref="P3:Q3"/>
    <mergeCell ref="T3:U3"/>
    <mergeCell ref="V3:W3"/>
    <mergeCell ref="P8:P10"/>
    <mergeCell ref="V5:V7"/>
    <mergeCell ref="W5:W10"/>
    <mergeCell ref="X5:X7"/>
    <mergeCell ref="Y5:Y10"/>
    <mergeCell ref="X3:Y3"/>
    <mergeCell ref="Z3:AA3"/>
    <mergeCell ref="Z5:Z7"/>
    <mergeCell ref="U5:U10"/>
    <mergeCell ref="M11:M16"/>
    <mergeCell ref="N11:N13"/>
    <mergeCell ref="E9:E10"/>
    <mergeCell ref="F9:F10"/>
    <mergeCell ref="L8:L10"/>
    <mergeCell ref="N8:N10"/>
    <mergeCell ref="AA11:AA16"/>
    <mergeCell ref="L14:L16"/>
    <mergeCell ref="N14:N16"/>
    <mergeCell ref="P14:P16"/>
    <mergeCell ref="R14:R16"/>
    <mergeCell ref="T14:T16"/>
    <mergeCell ref="V14:V16"/>
    <mergeCell ref="U11:U16"/>
    <mergeCell ref="V11:V13"/>
    <mergeCell ref="W11:W16"/>
    <mergeCell ref="X11:X13"/>
    <mergeCell ref="Y11:Y16"/>
    <mergeCell ref="AA5:AA10"/>
    <mergeCell ref="V8:V10"/>
    <mergeCell ref="X8:X10"/>
    <mergeCell ref="Z8:Z10"/>
    <mergeCell ref="P5:P7"/>
    <mergeCell ref="Q5:Q10"/>
    <mergeCell ref="R5:R7"/>
    <mergeCell ref="Z11:Z13"/>
    <mergeCell ref="X14:X16"/>
    <mergeCell ref="Z14:Z16"/>
    <mergeCell ref="K5:K10"/>
    <mergeCell ref="L5:L7"/>
    <mergeCell ref="M5:M10"/>
    <mergeCell ref="N5:N7"/>
    <mergeCell ref="O11:O16"/>
    <mergeCell ref="P11:P13"/>
    <mergeCell ref="Q11:Q16"/>
    <mergeCell ref="R11:R13"/>
    <mergeCell ref="S11:S16"/>
    <mergeCell ref="T11:T13"/>
    <mergeCell ref="C11:C16"/>
    <mergeCell ref="D11:D16"/>
    <mergeCell ref="G11:G13"/>
    <mergeCell ref="H11:H13"/>
    <mergeCell ref="E15:E16"/>
    <mergeCell ref="F15:F16"/>
    <mergeCell ref="G8:G10"/>
    <mergeCell ref="H8:H10"/>
    <mergeCell ref="J8:J10"/>
    <mergeCell ref="C5:C10"/>
    <mergeCell ref="D5:D10"/>
    <mergeCell ref="G5:G7"/>
    <mergeCell ref="H5:H7"/>
    <mergeCell ref="I5:I10"/>
    <mergeCell ref="G14:G16"/>
    <mergeCell ref="H14:H16"/>
    <mergeCell ref="J14:J16"/>
    <mergeCell ref="S5:S10"/>
    <mergeCell ref="T5:T7"/>
    <mergeCell ref="R8:R10"/>
    <mergeCell ref="T8:T10"/>
    <mergeCell ref="J5:J7"/>
    <mergeCell ref="I11:I16"/>
    <mergeCell ref="J11:J13"/>
    <mergeCell ref="K11:K16"/>
    <mergeCell ref="L11:L13"/>
    <mergeCell ref="H17:H19"/>
    <mergeCell ref="O23:O28"/>
    <mergeCell ref="P23:P25"/>
    <mergeCell ref="P26:P28"/>
    <mergeCell ref="X26:X28"/>
    <mergeCell ref="Z17:Z19"/>
    <mergeCell ref="C17:C22"/>
    <mergeCell ref="D17:D22"/>
    <mergeCell ref="I17:I22"/>
    <mergeCell ref="J17:J19"/>
    <mergeCell ref="E27:E28"/>
    <mergeCell ref="F27:F28"/>
    <mergeCell ref="Z23:Z25"/>
    <mergeCell ref="AA17:AA22"/>
    <mergeCell ref="G20:G22"/>
    <mergeCell ref="H20:H22"/>
    <mergeCell ref="J20:J22"/>
    <mergeCell ref="L20:L22"/>
    <mergeCell ref="N20:N22"/>
    <mergeCell ref="Q17:Q22"/>
    <mergeCell ref="R17:R19"/>
    <mergeCell ref="S17:S22"/>
    <mergeCell ref="T17:T19"/>
    <mergeCell ref="U17:U22"/>
    <mergeCell ref="V17:V19"/>
    <mergeCell ref="R20:R22"/>
    <mergeCell ref="T20:T22"/>
    <mergeCell ref="V20:V22"/>
    <mergeCell ref="K17:K22"/>
    <mergeCell ref="X20:X22"/>
    <mergeCell ref="Z20:Z22"/>
    <mergeCell ref="E21:E22"/>
    <mergeCell ref="F21:F22"/>
    <mergeCell ref="W23:W28"/>
    <mergeCell ref="X23:X25"/>
    <mergeCell ref="Y23:Y28"/>
    <mergeCell ref="E33:E34"/>
    <mergeCell ref="F33:F34"/>
    <mergeCell ref="N29:N31"/>
    <mergeCell ref="O29:O34"/>
    <mergeCell ref="P29:P31"/>
    <mergeCell ref="P32:P34"/>
    <mergeCell ref="X32:X34"/>
    <mergeCell ref="Z32:Z34"/>
    <mergeCell ref="W29:W34"/>
    <mergeCell ref="X29:X31"/>
    <mergeCell ref="Y29:Y34"/>
    <mergeCell ref="G23:G25"/>
    <mergeCell ref="H23:H25"/>
    <mergeCell ref="I23:I28"/>
    <mergeCell ref="J23:J25"/>
    <mergeCell ref="W17:W22"/>
    <mergeCell ref="X17:X19"/>
    <mergeCell ref="Y17:Y22"/>
    <mergeCell ref="L17:L19"/>
    <mergeCell ref="M17:M22"/>
    <mergeCell ref="N17:N19"/>
    <mergeCell ref="O17:O22"/>
    <mergeCell ref="P17:P19"/>
    <mergeCell ref="P20:P22"/>
    <mergeCell ref="G17:G19"/>
    <mergeCell ref="G32:G34"/>
    <mergeCell ref="H32:H34"/>
    <mergeCell ref="J32:J34"/>
    <mergeCell ref="C29:C34"/>
    <mergeCell ref="D29:D34"/>
    <mergeCell ref="G29:G31"/>
    <mergeCell ref="H29:H31"/>
    <mergeCell ref="I29:I34"/>
    <mergeCell ref="J29:J31"/>
    <mergeCell ref="H35:H37"/>
    <mergeCell ref="I35:I40"/>
    <mergeCell ref="J35:J37"/>
    <mergeCell ref="AA23:AA28"/>
    <mergeCell ref="G26:G28"/>
    <mergeCell ref="H26:H28"/>
    <mergeCell ref="J26:J28"/>
    <mergeCell ref="L26:L28"/>
    <mergeCell ref="N26:N28"/>
    <mergeCell ref="Q23:Q28"/>
    <mergeCell ref="R23:R25"/>
    <mergeCell ref="S23:S28"/>
    <mergeCell ref="T23:T25"/>
    <mergeCell ref="U23:U28"/>
    <mergeCell ref="V23:V25"/>
    <mergeCell ref="R26:R28"/>
    <mergeCell ref="T26:T28"/>
    <mergeCell ref="V26:V28"/>
    <mergeCell ref="K23:K28"/>
    <mergeCell ref="L23:L25"/>
    <mergeCell ref="M23:M28"/>
    <mergeCell ref="N23:N25"/>
    <mergeCell ref="Z26:Z28"/>
    <mergeCell ref="C23:C28"/>
    <mergeCell ref="D23:D28"/>
    <mergeCell ref="AA29:AA34"/>
    <mergeCell ref="L32:L34"/>
    <mergeCell ref="N32:N34"/>
    <mergeCell ref="Q29:Q34"/>
    <mergeCell ref="R29:R31"/>
    <mergeCell ref="S29:S34"/>
    <mergeCell ref="T29:T31"/>
    <mergeCell ref="U29:U34"/>
    <mergeCell ref="V29:V31"/>
    <mergeCell ref="R32:R34"/>
    <mergeCell ref="T32:T34"/>
    <mergeCell ref="V32:V34"/>
    <mergeCell ref="K29:K34"/>
    <mergeCell ref="L29:L31"/>
    <mergeCell ref="M29:M34"/>
    <mergeCell ref="Z29:Z31"/>
    <mergeCell ref="AA35:AA40"/>
    <mergeCell ref="G38:G40"/>
    <mergeCell ref="H38:H40"/>
    <mergeCell ref="J38:J40"/>
    <mergeCell ref="L38:L40"/>
    <mergeCell ref="N38:N40"/>
    <mergeCell ref="Q35:Q40"/>
    <mergeCell ref="R35:R37"/>
    <mergeCell ref="S35:S40"/>
    <mergeCell ref="T35:T37"/>
    <mergeCell ref="U35:U40"/>
    <mergeCell ref="V35:V37"/>
    <mergeCell ref="R38:R40"/>
    <mergeCell ref="T38:T40"/>
    <mergeCell ref="V38:V40"/>
    <mergeCell ref="K35:K40"/>
    <mergeCell ref="L35:L37"/>
    <mergeCell ref="M35:M40"/>
    <mergeCell ref="N35:N37"/>
    <mergeCell ref="O35:O40"/>
    <mergeCell ref="P35:P37"/>
    <mergeCell ref="P38:P40"/>
    <mergeCell ref="X38:X40"/>
    <mergeCell ref="P53:P55"/>
    <mergeCell ref="P56:P58"/>
    <mergeCell ref="X56:X58"/>
    <mergeCell ref="Z56:Z58"/>
    <mergeCell ref="Z38:Z40"/>
    <mergeCell ref="E39:E40"/>
    <mergeCell ref="F39:F40"/>
    <mergeCell ref="C53:C58"/>
    <mergeCell ref="D53:D58"/>
    <mergeCell ref="G53:G55"/>
    <mergeCell ref="H53:H55"/>
    <mergeCell ref="I53:I58"/>
    <mergeCell ref="J53:J55"/>
    <mergeCell ref="W35:W40"/>
    <mergeCell ref="X35:X37"/>
    <mergeCell ref="Y35:Y40"/>
    <mergeCell ref="Z35:Z37"/>
    <mergeCell ref="E57:E58"/>
    <mergeCell ref="F57:F58"/>
    <mergeCell ref="Z53:Z55"/>
    <mergeCell ref="C35:C40"/>
    <mergeCell ref="D35:D40"/>
    <mergeCell ref="G35:G37"/>
    <mergeCell ref="S47:S52"/>
    <mergeCell ref="T47:T49"/>
    <mergeCell ref="U47:U52"/>
    <mergeCell ref="Y47:Y52"/>
    <mergeCell ref="Z47:Z49"/>
    <mergeCell ref="C59:C64"/>
    <mergeCell ref="D59:D64"/>
    <mergeCell ref="G59:G61"/>
    <mergeCell ref="H59:H61"/>
    <mergeCell ref="I59:I64"/>
    <mergeCell ref="J59:J61"/>
    <mergeCell ref="Z59:Z61"/>
    <mergeCell ref="W53:W58"/>
    <mergeCell ref="X53:X55"/>
    <mergeCell ref="Y53:Y58"/>
    <mergeCell ref="E63:E64"/>
    <mergeCell ref="F63:F64"/>
    <mergeCell ref="AA53:AA58"/>
    <mergeCell ref="G56:G58"/>
    <mergeCell ref="H56:H58"/>
    <mergeCell ref="J56:J58"/>
    <mergeCell ref="L56:L58"/>
    <mergeCell ref="N56:N58"/>
    <mergeCell ref="Q53:Q58"/>
    <mergeCell ref="R53:R55"/>
    <mergeCell ref="S53:S58"/>
    <mergeCell ref="T53:T55"/>
    <mergeCell ref="U53:U58"/>
    <mergeCell ref="V53:V55"/>
    <mergeCell ref="R56:R58"/>
    <mergeCell ref="T56:T58"/>
    <mergeCell ref="V56:V58"/>
    <mergeCell ref="K53:K58"/>
    <mergeCell ref="L53:L55"/>
    <mergeCell ref="M53:M58"/>
    <mergeCell ref="N53:N55"/>
    <mergeCell ref="O53:O58"/>
    <mergeCell ref="H65:H67"/>
    <mergeCell ref="I65:I70"/>
    <mergeCell ref="J65:J67"/>
    <mergeCell ref="W59:W64"/>
    <mergeCell ref="X59:X61"/>
    <mergeCell ref="Y59:Y64"/>
    <mergeCell ref="AA59:AA64"/>
    <mergeCell ref="G62:G64"/>
    <mergeCell ref="H62:H64"/>
    <mergeCell ref="J62:J64"/>
    <mergeCell ref="L62:L64"/>
    <mergeCell ref="N62:N64"/>
    <mergeCell ref="Q59:Q64"/>
    <mergeCell ref="R59:R61"/>
    <mergeCell ref="S59:S64"/>
    <mergeCell ref="T59:T61"/>
    <mergeCell ref="U59:U64"/>
    <mergeCell ref="V59:V61"/>
    <mergeCell ref="R62:R64"/>
    <mergeCell ref="T62:T64"/>
    <mergeCell ref="V62:V64"/>
    <mergeCell ref="K59:K64"/>
    <mergeCell ref="L59:L61"/>
    <mergeCell ref="M59:M64"/>
    <mergeCell ref="N59:N61"/>
    <mergeCell ref="O59:O64"/>
    <mergeCell ref="P59:P61"/>
    <mergeCell ref="P62:P64"/>
    <mergeCell ref="X62:X64"/>
    <mergeCell ref="Z62:Z64"/>
    <mergeCell ref="AA65:AA70"/>
    <mergeCell ref="G68:G70"/>
    <mergeCell ref="H68:H70"/>
    <mergeCell ref="J68:J70"/>
    <mergeCell ref="L68:L70"/>
    <mergeCell ref="N68:N70"/>
    <mergeCell ref="Q65:Q70"/>
    <mergeCell ref="R65:R67"/>
    <mergeCell ref="S65:S70"/>
    <mergeCell ref="T65:T67"/>
    <mergeCell ref="U65:U70"/>
    <mergeCell ref="V65:V67"/>
    <mergeCell ref="R68:R70"/>
    <mergeCell ref="T68:T70"/>
    <mergeCell ref="V68:V70"/>
    <mergeCell ref="K65:K70"/>
    <mergeCell ref="L65:L67"/>
    <mergeCell ref="M65:M70"/>
    <mergeCell ref="N65:N67"/>
    <mergeCell ref="O65:O70"/>
    <mergeCell ref="P65:P67"/>
    <mergeCell ref="P68:P70"/>
    <mergeCell ref="X68:X70"/>
    <mergeCell ref="AA71:AA76"/>
    <mergeCell ref="G74:G76"/>
    <mergeCell ref="H74:H76"/>
    <mergeCell ref="J74:J76"/>
    <mergeCell ref="L74:L76"/>
    <mergeCell ref="N74:N76"/>
    <mergeCell ref="Q71:Q76"/>
    <mergeCell ref="R71:R73"/>
    <mergeCell ref="S71:S76"/>
    <mergeCell ref="T71:T73"/>
    <mergeCell ref="U71:U76"/>
    <mergeCell ref="V71:V73"/>
    <mergeCell ref="R74:R76"/>
    <mergeCell ref="T74:T76"/>
    <mergeCell ref="V74:V76"/>
    <mergeCell ref="K71:K76"/>
    <mergeCell ref="L71:L73"/>
    <mergeCell ref="M71:M76"/>
    <mergeCell ref="N71:N73"/>
    <mergeCell ref="O71:O76"/>
    <mergeCell ref="P71:P73"/>
    <mergeCell ref="P74:P76"/>
    <mergeCell ref="X74:X76"/>
    <mergeCell ref="Z74:Z76"/>
    <mergeCell ref="G71:G73"/>
    <mergeCell ref="H71:H73"/>
    <mergeCell ref="I71:I76"/>
    <mergeCell ref="J71:J73"/>
    <mergeCell ref="Z71:Z73"/>
    <mergeCell ref="X98:X100"/>
    <mergeCell ref="Z98:Z100"/>
    <mergeCell ref="AA77:AA82"/>
    <mergeCell ref="G80:G82"/>
    <mergeCell ref="H80:H82"/>
    <mergeCell ref="J80:J82"/>
    <mergeCell ref="L80:L82"/>
    <mergeCell ref="N80:N82"/>
    <mergeCell ref="Q77:Q82"/>
    <mergeCell ref="R77:R79"/>
    <mergeCell ref="S77:S82"/>
    <mergeCell ref="T77:T79"/>
    <mergeCell ref="U77:U82"/>
    <mergeCell ref="V77:V79"/>
    <mergeCell ref="R80:R82"/>
    <mergeCell ref="T80:T82"/>
    <mergeCell ref="V80:V82"/>
    <mergeCell ref="K77:K82"/>
    <mergeCell ref="L77:L79"/>
    <mergeCell ref="M77:M82"/>
    <mergeCell ref="N77:N79"/>
    <mergeCell ref="O77:O82"/>
    <mergeCell ref="P77:P79"/>
    <mergeCell ref="Z77:Z79"/>
    <mergeCell ref="P80:P82"/>
    <mergeCell ref="X80:X82"/>
    <mergeCell ref="Z80:Z82"/>
    <mergeCell ref="G77:G79"/>
    <mergeCell ref="H77:H79"/>
    <mergeCell ref="I77:I82"/>
    <mergeCell ref="J77:J79"/>
    <mergeCell ref="W77:W82"/>
    <mergeCell ref="W95:W100"/>
    <mergeCell ref="P101:P103"/>
    <mergeCell ref="Q101:Q106"/>
    <mergeCell ref="R101:R103"/>
    <mergeCell ref="S101:S106"/>
    <mergeCell ref="T101:T103"/>
    <mergeCell ref="U101:U106"/>
    <mergeCell ref="V101:V103"/>
    <mergeCell ref="W101:W106"/>
    <mergeCell ref="E105:E106"/>
    <mergeCell ref="F105:F106"/>
    <mergeCell ref="C107:C112"/>
    <mergeCell ref="D107:D112"/>
    <mergeCell ref="G107:G109"/>
    <mergeCell ref="H107:H109"/>
    <mergeCell ref="I107:I112"/>
    <mergeCell ref="AA95:AA100"/>
    <mergeCell ref="G98:G100"/>
    <mergeCell ref="H98:H100"/>
    <mergeCell ref="J98:J100"/>
    <mergeCell ref="L98:L100"/>
    <mergeCell ref="N98:N100"/>
    <mergeCell ref="Q95:Q100"/>
    <mergeCell ref="R95:R97"/>
    <mergeCell ref="S95:S100"/>
    <mergeCell ref="T95:T97"/>
    <mergeCell ref="U95:U100"/>
    <mergeCell ref="V95:V97"/>
    <mergeCell ref="R98:R100"/>
    <mergeCell ref="T98:T100"/>
    <mergeCell ref="V98:V100"/>
    <mergeCell ref="K95:K100"/>
    <mergeCell ref="X95:X97"/>
    <mergeCell ref="Y95:Y100"/>
    <mergeCell ref="Z95:Z97"/>
    <mergeCell ref="Z113:Z114"/>
    <mergeCell ref="W113:W114"/>
    <mergeCell ref="X113:X114"/>
    <mergeCell ref="Y113:Y114"/>
    <mergeCell ref="C95:C100"/>
    <mergeCell ref="D95:D100"/>
    <mergeCell ref="G95:G97"/>
    <mergeCell ref="H95:H97"/>
    <mergeCell ref="I95:I100"/>
    <mergeCell ref="J95:J97"/>
    <mergeCell ref="C101:C106"/>
    <mergeCell ref="D101:D106"/>
    <mergeCell ref="G101:G103"/>
    <mergeCell ref="H101:H103"/>
    <mergeCell ref="I101:I106"/>
    <mergeCell ref="J101:J103"/>
    <mergeCell ref="K101:K106"/>
    <mergeCell ref="L101:L103"/>
    <mergeCell ref="M101:M106"/>
    <mergeCell ref="N101:N103"/>
    <mergeCell ref="O101:O106"/>
    <mergeCell ref="E99:E100"/>
    <mergeCell ref="F99:F100"/>
    <mergeCell ref="C113:C114"/>
    <mergeCell ref="D113:D114"/>
    <mergeCell ref="G113:G114"/>
    <mergeCell ref="H113:H114"/>
    <mergeCell ref="I113:I114"/>
    <mergeCell ref="J113:J114"/>
    <mergeCell ref="AA113:AA114"/>
    <mergeCell ref="C119:C124"/>
    <mergeCell ref="D119:D124"/>
    <mergeCell ref="G119:G121"/>
    <mergeCell ref="H119:H121"/>
    <mergeCell ref="I119:I124"/>
    <mergeCell ref="Q113:Q114"/>
    <mergeCell ref="R113:R114"/>
    <mergeCell ref="S113:S114"/>
    <mergeCell ref="T113:T114"/>
    <mergeCell ref="U113:U114"/>
    <mergeCell ref="V113:V114"/>
    <mergeCell ref="K113:K114"/>
    <mergeCell ref="L113:L114"/>
    <mergeCell ref="M113:M114"/>
    <mergeCell ref="N113:N114"/>
    <mergeCell ref="O113:O114"/>
    <mergeCell ref="P113:P114"/>
    <mergeCell ref="J119:J121"/>
    <mergeCell ref="K119:K124"/>
    <mergeCell ref="L119:L121"/>
    <mergeCell ref="M119:M124"/>
    <mergeCell ref="N119:N121"/>
    <mergeCell ref="O119:O124"/>
    <mergeCell ref="U115:U116"/>
    <mergeCell ref="V115:V116"/>
    <mergeCell ref="W115:W116"/>
    <mergeCell ref="X115:X116"/>
    <mergeCell ref="Y115:Y116"/>
    <mergeCell ref="Z115:Z116"/>
    <mergeCell ref="AA115:AA116"/>
    <mergeCell ref="C117:C118"/>
    <mergeCell ref="E141:E142"/>
    <mergeCell ref="F141:F142"/>
    <mergeCell ref="G122:G124"/>
    <mergeCell ref="H122:H124"/>
    <mergeCell ref="J122:J124"/>
    <mergeCell ref="L122:L124"/>
    <mergeCell ref="N122:N124"/>
    <mergeCell ref="E129:E130"/>
    <mergeCell ref="F129:F130"/>
    <mergeCell ref="C131:C136"/>
    <mergeCell ref="D131:D136"/>
    <mergeCell ref="G131:G133"/>
    <mergeCell ref="P122:P124"/>
    <mergeCell ref="C125:C130"/>
    <mergeCell ref="D125:D130"/>
    <mergeCell ref="G125:G127"/>
    <mergeCell ref="H125:H127"/>
    <mergeCell ref="I125:I130"/>
    <mergeCell ref="J125:J127"/>
    <mergeCell ref="K125:K130"/>
    <mergeCell ref="L125:L127"/>
    <mergeCell ref="M125:M130"/>
    <mergeCell ref="N125:N127"/>
    <mergeCell ref="O125:O130"/>
    <mergeCell ref="P125:P127"/>
    <mergeCell ref="E135:E136"/>
    <mergeCell ref="F135:F136"/>
    <mergeCell ref="E123:E124"/>
    <mergeCell ref="F123:F124"/>
    <mergeCell ref="H131:H133"/>
    <mergeCell ref="I131:I136"/>
    <mergeCell ref="G140:G142"/>
    <mergeCell ref="H140:H142"/>
    <mergeCell ref="J140:J142"/>
    <mergeCell ref="L140:L142"/>
    <mergeCell ref="N140:N142"/>
    <mergeCell ref="P140:P142"/>
    <mergeCell ref="R140:R142"/>
    <mergeCell ref="T140:T142"/>
    <mergeCell ref="V140:V142"/>
    <mergeCell ref="U137:U142"/>
    <mergeCell ref="V137:V139"/>
    <mergeCell ref="W137:W142"/>
    <mergeCell ref="X137:X139"/>
    <mergeCell ref="Y137:Y142"/>
    <mergeCell ref="Z137:Z139"/>
    <mergeCell ref="X140:X142"/>
    <mergeCell ref="Z140:Z142"/>
    <mergeCell ref="O137:O142"/>
    <mergeCell ref="P137:P139"/>
    <mergeCell ref="Q137:Q142"/>
    <mergeCell ref="R137:R139"/>
    <mergeCell ref="S137:S142"/>
    <mergeCell ref="T137:T139"/>
    <mergeCell ref="H137:H139"/>
    <mergeCell ref="AA165:AA170"/>
    <mergeCell ref="Z159:Z161"/>
    <mergeCell ref="AA159:AA164"/>
    <mergeCell ref="Z149:Z152"/>
    <mergeCell ref="AA149:AA152"/>
    <mergeCell ref="C153:C158"/>
    <mergeCell ref="D153:D158"/>
    <mergeCell ref="G153:G155"/>
    <mergeCell ref="H153:H155"/>
    <mergeCell ref="I153:I158"/>
    <mergeCell ref="Q149:Q152"/>
    <mergeCell ref="R149:R152"/>
    <mergeCell ref="S149:S152"/>
    <mergeCell ref="T149:T152"/>
    <mergeCell ref="U149:U152"/>
    <mergeCell ref="V149:V152"/>
    <mergeCell ref="K149:K152"/>
    <mergeCell ref="L149:L152"/>
    <mergeCell ref="M149:M152"/>
    <mergeCell ref="N149:N152"/>
    <mergeCell ref="O149:O152"/>
    <mergeCell ref="P149:P152"/>
    <mergeCell ref="C149:C152"/>
    <mergeCell ref="D149:D152"/>
    <mergeCell ref="G149:G152"/>
    <mergeCell ref="H149:H152"/>
    <mergeCell ref="I149:I152"/>
    <mergeCell ref="Z153:Z155"/>
    <mergeCell ref="AA153:AA158"/>
    <mergeCell ref="V156:V158"/>
    <mergeCell ref="X156:X158"/>
    <mergeCell ref="Z156:Z158"/>
    <mergeCell ref="W165:W170"/>
    <mergeCell ref="X165:X167"/>
    <mergeCell ref="Y165:Y170"/>
    <mergeCell ref="Z165:Z167"/>
    <mergeCell ref="X168:X170"/>
    <mergeCell ref="Z168:Z170"/>
    <mergeCell ref="O165:O170"/>
    <mergeCell ref="P165:P167"/>
    <mergeCell ref="Q165:Q170"/>
    <mergeCell ref="R165:R167"/>
    <mergeCell ref="S165:S170"/>
    <mergeCell ref="T165:T167"/>
    <mergeCell ref="I165:I170"/>
    <mergeCell ref="J165:J167"/>
    <mergeCell ref="K165:K170"/>
    <mergeCell ref="L165:L167"/>
    <mergeCell ref="M165:M170"/>
    <mergeCell ref="N165:N167"/>
    <mergeCell ref="AA177:AA182"/>
    <mergeCell ref="G180:G182"/>
    <mergeCell ref="H180:H182"/>
    <mergeCell ref="J180:J182"/>
    <mergeCell ref="L180:L182"/>
    <mergeCell ref="N180:N182"/>
    <mergeCell ref="Q177:Q182"/>
    <mergeCell ref="R177:R179"/>
    <mergeCell ref="S177:S182"/>
    <mergeCell ref="T177:T179"/>
    <mergeCell ref="U177:U182"/>
    <mergeCell ref="V177:V179"/>
    <mergeCell ref="R180:R182"/>
    <mergeCell ref="T180:T182"/>
    <mergeCell ref="V180:V182"/>
    <mergeCell ref="K177:K182"/>
    <mergeCell ref="L177:L179"/>
    <mergeCell ref="M177:M182"/>
    <mergeCell ref="N177:N179"/>
    <mergeCell ref="O177:O182"/>
    <mergeCell ref="P177:P179"/>
    <mergeCell ref="P180:P182"/>
    <mergeCell ref="G177:G179"/>
    <mergeCell ref="H177:H179"/>
    <mergeCell ref="X180:X182"/>
    <mergeCell ref="Z180:Z182"/>
    <mergeCell ref="E181:E182"/>
    <mergeCell ref="F181:F182"/>
    <mergeCell ref="C201:C204"/>
    <mergeCell ref="D201:D204"/>
    <mergeCell ref="G201:G204"/>
    <mergeCell ref="H201:H204"/>
    <mergeCell ref="I201:I204"/>
    <mergeCell ref="J201:J204"/>
    <mergeCell ref="W177:W182"/>
    <mergeCell ref="X177:X179"/>
    <mergeCell ref="Y177:Y182"/>
    <mergeCell ref="Z177:Z179"/>
    <mergeCell ref="C177:C182"/>
    <mergeCell ref="D177:D182"/>
    <mergeCell ref="I177:I182"/>
    <mergeCell ref="J177:J179"/>
    <mergeCell ref="W201:W204"/>
    <mergeCell ref="X201:X204"/>
    <mergeCell ref="Y201:Y204"/>
    <mergeCell ref="Z201:Z204"/>
    <mergeCell ref="M183:M188"/>
    <mergeCell ref="N183:N185"/>
    <mergeCell ref="X183:X185"/>
    <mergeCell ref="Y183:Y188"/>
    <mergeCell ref="Z183:Z185"/>
    <mergeCell ref="U189:U194"/>
    <mergeCell ref="V189:V191"/>
    <mergeCell ref="W189:W194"/>
    <mergeCell ref="X189:X191"/>
    <mergeCell ref="Y189:Y194"/>
    <mergeCell ref="Z189:Z191"/>
    <mergeCell ref="P195:P197"/>
    <mergeCell ref="C228:C229"/>
    <mergeCell ref="D228:D229"/>
    <mergeCell ref="G228:G229"/>
    <mergeCell ref="H228:H229"/>
    <mergeCell ref="I228:I229"/>
    <mergeCell ref="AA228:AA229"/>
    <mergeCell ref="P228:P229"/>
    <mergeCell ref="AA201:AA204"/>
    <mergeCell ref="U201:U204"/>
    <mergeCell ref="V201:V204"/>
    <mergeCell ref="E187:E188"/>
    <mergeCell ref="F187:F188"/>
    <mergeCell ref="Q201:Q204"/>
    <mergeCell ref="R201:R204"/>
    <mergeCell ref="S201:S204"/>
    <mergeCell ref="T201:T204"/>
    <mergeCell ref="K201:K204"/>
    <mergeCell ref="L201:L204"/>
    <mergeCell ref="M201:M204"/>
    <mergeCell ref="N201:N204"/>
    <mergeCell ref="O201:O204"/>
    <mergeCell ref="P201:P204"/>
    <mergeCell ref="M205:M208"/>
    <mergeCell ref="N205:N208"/>
    <mergeCell ref="V228:V229"/>
    <mergeCell ref="W228:W229"/>
    <mergeCell ref="X228:X229"/>
    <mergeCell ref="Y228:Y229"/>
    <mergeCell ref="Z228:Z229"/>
    <mergeCell ref="I209:I212"/>
    <mergeCell ref="J209:J212"/>
    <mergeCell ref="K209:K212"/>
    <mergeCell ref="W234:W235"/>
    <mergeCell ref="X234:X235"/>
    <mergeCell ref="Y234:Y235"/>
    <mergeCell ref="Z234:Z235"/>
    <mergeCell ref="Q228:Q229"/>
    <mergeCell ref="R228:R229"/>
    <mergeCell ref="S228:S229"/>
    <mergeCell ref="T228:T229"/>
    <mergeCell ref="U228:U229"/>
    <mergeCell ref="J228:J229"/>
    <mergeCell ref="K228:K229"/>
    <mergeCell ref="L228:L229"/>
    <mergeCell ref="M228:M229"/>
    <mergeCell ref="N228:N229"/>
    <mergeCell ref="O228:O229"/>
    <mergeCell ref="AA234:AA235"/>
    <mergeCell ref="C240:C241"/>
    <mergeCell ref="D240:D241"/>
    <mergeCell ref="G240:G241"/>
    <mergeCell ref="H240:H241"/>
    <mergeCell ref="I240:I241"/>
    <mergeCell ref="Q234:Q235"/>
    <mergeCell ref="R234:R235"/>
    <mergeCell ref="S234:S235"/>
    <mergeCell ref="T234:T235"/>
    <mergeCell ref="U234:U235"/>
    <mergeCell ref="V234:V235"/>
    <mergeCell ref="K234:K235"/>
    <mergeCell ref="L234:L235"/>
    <mergeCell ref="M234:M235"/>
    <mergeCell ref="N234:N235"/>
    <mergeCell ref="O234:O235"/>
    <mergeCell ref="P234:P235"/>
    <mergeCell ref="C234:C235"/>
    <mergeCell ref="D234:D235"/>
    <mergeCell ref="AA240:AA241"/>
    <mergeCell ref="P240:P241"/>
    <mergeCell ref="Q240:Q241"/>
    <mergeCell ref="R240:R241"/>
    <mergeCell ref="G234:G235"/>
    <mergeCell ref="H234:H235"/>
    <mergeCell ref="I234:I235"/>
    <mergeCell ref="J234:J235"/>
    <mergeCell ref="G246:G247"/>
    <mergeCell ref="H246:H247"/>
    <mergeCell ref="I246:I247"/>
    <mergeCell ref="J246:J247"/>
    <mergeCell ref="V240:V241"/>
    <mergeCell ref="W240:W241"/>
    <mergeCell ref="X240:X241"/>
    <mergeCell ref="Y240:Y241"/>
    <mergeCell ref="Z240:Z241"/>
    <mergeCell ref="W246:W247"/>
    <mergeCell ref="X246:X247"/>
    <mergeCell ref="Y246:Y247"/>
    <mergeCell ref="Z246:Z247"/>
    <mergeCell ref="S240:S241"/>
    <mergeCell ref="T240:T241"/>
    <mergeCell ref="U240:U241"/>
    <mergeCell ref="J240:J241"/>
    <mergeCell ref="K240:K241"/>
    <mergeCell ref="L240:L241"/>
    <mergeCell ref="M240:M241"/>
    <mergeCell ref="N240:N241"/>
    <mergeCell ref="J252:J253"/>
    <mergeCell ref="K252:K253"/>
    <mergeCell ref="L252:L253"/>
    <mergeCell ref="M252:M253"/>
    <mergeCell ref="N252:N253"/>
    <mergeCell ref="O252:O253"/>
    <mergeCell ref="X254:X255"/>
    <mergeCell ref="Y254:Y255"/>
    <mergeCell ref="AA246:AA247"/>
    <mergeCell ref="C252:C253"/>
    <mergeCell ref="D252:D253"/>
    <mergeCell ref="G252:G253"/>
    <mergeCell ref="H252:H253"/>
    <mergeCell ref="I252:I253"/>
    <mergeCell ref="Q246:Q247"/>
    <mergeCell ref="R246:R247"/>
    <mergeCell ref="S246:S247"/>
    <mergeCell ref="T246:T247"/>
    <mergeCell ref="U246:U247"/>
    <mergeCell ref="V246:V247"/>
    <mergeCell ref="K246:K247"/>
    <mergeCell ref="L246:L247"/>
    <mergeCell ref="M246:M247"/>
    <mergeCell ref="N246:N247"/>
    <mergeCell ref="O246:O247"/>
    <mergeCell ref="P246:P247"/>
    <mergeCell ref="C246:C247"/>
    <mergeCell ref="D246:D247"/>
    <mergeCell ref="AA252:AA253"/>
    <mergeCell ref="P252:P253"/>
    <mergeCell ref="Q252:Q253"/>
    <mergeCell ref="R252:R253"/>
    <mergeCell ref="Z272:AA272"/>
    <mergeCell ref="AA258:AA259"/>
    <mergeCell ref="C265:C266"/>
    <mergeCell ref="D265:D266"/>
    <mergeCell ref="I265:I266"/>
    <mergeCell ref="K265:K266"/>
    <mergeCell ref="M265:M266"/>
    <mergeCell ref="Q258:Q259"/>
    <mergeCell ref="R258:R259"/>
    <mergeCell ref="S258:S259"/>
    <mergeCell ref="T258:T259"/>
    <mergeCell ref="U258:U259"/>
    <mergeCell ref="V258:V259"/>
    <mergeCell ref="K258:K259"/>
    <mergeCell ref="L258:L259"/>
    <mergeCell ref="M258:M259"/>
    <mergeCell ref="N258:N259"/>
    <mergeCell ref="O258:O259"/>
    <mergeCell ref="P258:P259"/>
    <mergeCell ref="C258:C259"/>
    <mergeCell ref="D258:D259"/>
    <mergeCell ref="AA265:AA266"/>
    <mergeCell ref="O265:O266"/>
    <mergeCell ref="Q265:Q266"/>
    <mergeCell ref="S265:S266"/>
    <mergeCell ref="G258:G259"/>
    <mergeCell ref="H258:H259"/>
    <mergeCell ref="I258:I259"/>
    <mergeCell ref="J258:J259"/>
    <mergeCell ref="W258:W259"/>
    <mergeCell ref="Y258:Y259"/>
    <mergeCell ref="C271:G271"/>
    <mergeCell ref="H271:I271"/>
    <mergeCell ref="J271:K271"/>
    <mergeCell ref="L271:M271"/>
    <mergeCell ref="N271:O271"/>
    <mergeCell ref="P271:Q271"/>
    <mergeCell ref="R271:S271"/>
    <mergeCell ref="T271:U271"/>
    <mergeCell ref="C267:G267"/>
    <mergeCell ref="H267:I267"/>
    <mergeCell ref="J267:K267"/>
    <mergeCell ref="L267:M267"/>
    <mergeCell ref="N267:O267"/>
    <mergeCell ref="P267:Q267"/>
    <mergeCell ref="R267:S267"/>
    <mergeCell ref="T267:U267"/>
    <mergeCell ref="V267:W267"/>
    <mergeCell ref="N260:N261"/>
    <mergeCell ref="O260:O261"/>
    <mergeCell ref="P260:P261"/>
    <mergeCell ref="Q260:Q261"/>
    <mergeCell ref="R260:R261"/>
    <mergeCell ref="S260:S261"/>
    <mergeCell ref="T260:T261"/>
    <mergeCell ref="U260:U261"/>
    <mergeCell ref="V260:V261"/>
    <mergeCell ref="W260:W261"/>
    <mergeCell ref="X260:X261"/>
    <mergeCell ref="Y260:Y261"/>
    <mergeCell ref="W262:W263"/>
    <mergeCell ref="X262:X263"/>
    <mergeCell ref="B5:B22"/>
    <mergeCell ref="C41:C46"/>
    <mergeCell ref="D41:D46"/>
    <mergeCell ref="G41:G43"/>
    <mergeCell ref="H41:H43"/>
    <mergeCell ref="I41:I46"/>
    <mergeCell ref="J41:J43"/>
    <mergeCell ref="K41:K46"/>
    <mergeCell ref="L41:L43"/>
    <mergeCell ref="E45:E46"/>
    <mergeCell ref="F45:F46"/>
    <mergeCell ref="B23:B40"/>
    <mergeCell ref="V271:W271"/>
    <mergeCell ref="X271:Y271"/>
    <mergeCell ref="B59:B76"/>
    <mergeCell ref="C83:C88"/>
    <mergeCell ref="D83:D88"/>
    <mergeCell ref="G83:G85"/>
    <mergeCell ref="H83:H85"/>
    <mergeCell ref="I83:I88"/>
    <mergeCell ref="J83:J85"/>
    <mergeCell ref="K83:K88"/>
    <mergeCell ref="L83:L85"/>
    <mergeCell ref="E87:E88"/>
    <mergeCell ref="F87:F88"/>
    <mergeCell ref="B77:B94"/>
    <mergeCell ref="C77:C82"/>
    <mergeCell ref="D77:D82"/>
    <mergeCell ref="Z271:AA271"/>
    <mergeCell ref="C272:G272"/>
    <mergeCell ref="H272:I272"/>
    <mergeCell ref="J272:K272"/>
    <mergeCell ref="L272:M272"/>
    <mergeCell ref="N272:O272"/>
    <mergeCell ref="P272:Q272"/>
    <mergeCell ref="R272:S272"/>
    <mergeCell ref="T272:U272"/>
    <mergeCell ref="V272:W272"/>
    <mergeCell ref="K143:K148"/>
    <mergeCell ref="X272:Y272"/>
    <mergeCell ref="U265:U266"/>
    <mergeCell ref="W265:W266"/>
    <mergeCell ref="Y265:Y266"/>
    <mergeCell ref="X267:Y267"/>
    <mergeCell ref="Z267:AA267"/>
    <mergeCell ref="L143:L145"/>
    <mergeCell ref="M143:M148"/>
    <mergeCell ref="N143:N145"/>
    <mergeCell ref="O143:O148"/>
    <mergeCell ref="P143:P145"/>
    <mergeCell ref="Q143:Q148"/>
    <mergeCell ref="R143:R145"/>
    <mergeCell ref="S143:S148"/>
    <mergeCell ref="T143:T145"/>
    <mergeCell ref="F157:F158"/>
    <mergeCell ref="G156:G158"/>
    <mergeCell ref="H156:H158"/>
    <mergeCell ref="J156:J158"/>
    <mergeCell ref="L156:L158"/>
    <mergeCell ref="N156:N158"/>
    <mergeCell ref="AA41:AA46"/>
    <mergeCell ref="G44:G46"/>
    <mergeCell ref="H44:H46"/>
    <mergeCell ref="J44:J46"/>
    <mergeCell ref="L44:L46"/>
    <mergeCell ref="N44:N46"/>
    <mergeCell ref="P44:P46"/>
    <mergeCell ref="R44:R46"/>
    <mergeCell ref="T44:T46"/>
    <mergeCell ref="V44:V46"/>
    <mergeCell ref="X44:X46"/>
    <mergeCell ref="Z44:Z46"/>
    <mergeCell ref="M41:M46"/>
    <mergeCell ref="N41:N43"/>
    <mergeCell ref="O41:O46"/>
    <mergeCell ref="P41:P43"/>
    <mergeCell ref="Q41:Q46"/>
    <mergeCell ref="R41:R43"/>
    <mergeCell ref="S41:S46"/>
    <mergeCell ref="T41:T43"/>
    <mergeCell ref="U41:U46"/>
    <mergeCell ref="V41:V43"/>
    <mergeCell ref="W41:W46"/>
    <mergeCell ref="X41:X43"/>
    <mergeCell ref="Y41:Y46"/>
    <mergeCell ref="Z41:Z43"/>
    <mergeCell ref="X77:X79"/>
    <mergeCell ref="Y77:Y82"/>
    <mergeCell ref="W71:W76"/>
    <mergeCell ref="X71:X73"/>
    <mergeCell ref="Y71:Y76"/>
    <mergeCell ref="E81:E82"/>
    <mergeCell ref="F81:F82"/>
    <mergeCell ref="Z68:Z70"/>
    <mergeCell ref="E69:E70"/>
    <mergeCell ref="F69:F70"/>
    <mergeCell ref="C71:C76"/>
    <mergeCell ref="D71:D76"/>
    <mergeCell ref="W65:W70"/>
    <mergeCell ref="V83:V85"/>
    <mergeCell ref="W83:W88"/>
    <mergeCell ref="X83:X85"/>
    <mergeCell ref="Y83:Y88"/>
    <mergeCell ref="Z83:Z85"/>
    <mergeCell ref="X65:X67"/>
    <mergeCell ref="Y65:Y70"/>
    <mergeCell ref="Z65:Z67"/>
    <mergeCell ref="E75:E76"/>
    <mergeCell ref="F75:F76"/>
    <mergeCell ref="C65:C70"/>
    <mergeCell ref="D65:D70"/>
    <mergeCell ref="G65:G67"/>
    <mergeCell ref="AA83:AA88"/>
    <mergeCell ref="G86:G88"/>
    <mergeCell ref="H86:H88"/>
    <mergeCell ref="J86:J88"/>
    <mergeCell ref="L86:L88"/>
    <mergeCell ref="N86:N88"/>
    <mergeCell ref="P86:P88"/>
    <mergeCell ref="R86:R88"/>
    <mergeCell ref="T86:T88"/>
    <mergeCell ref="V86:V88"/>
    <mergeCell ref="X86:X88"/>
    <mergeCell ref="Z86:Z88"/>
    <mergeCell ref="M83:M88"/>
    <mergeCell ref="N83:N85"/>
    <mergeCell ref="O83:O88"/>
    <mergeCell ref="P83:P85"/>
    <mergeCell ref="Q83:Q88"/>
    <mergeCell ref="R83:R85"/>
    <mergeCell ref="S83:S88"/>
    <mergeCell ref="T83:T85"/>
    <mergeCell ref="U83:U88"/>
    <mergeCell ref="O89:O94"/>
    <mergeCell ref="P89:P91"/>
    <mergeCell ref="Q89:Q94"/>
    <mergeCell ref="R89:R91"/>
    <mergeCell ref="S89:S94"/>
    <mergeCell ref="T89:T91"/>
    <mergeCell ref="U89:U94"/>
    <mergeCell ref="V89:V91"/>
    <mergeCell ref="C89:C94"/>
    <mergeCell ref="D89:D94"/>
    <mergeCell ref="G89:G91"/>
    <mergeCell ref="H89:H91"/>
    <mergeCell ref="I89:I94"/>
    <mergeCell ref="J89:J91"/>
    <mergeCell ref="K89:K94"/>
    <mergeCell ref="L89:L91"/>
    <mergeCell ref="M89:M94"/>
    <mergeCell ref="E93:E94"/>
    <mergeCell ref="F93:F94"/>
    <mergeCell ref="X101:X103"/>
    <mergeCell ref="Y101:Y106"/>
    <mergeCell ref="Z101:Z103"/>
    <mergeCell ref="AA101:AA106"/>
    <mergeCell ref="G104:G106"/>
    <mergeCell ref="H104:H106"/>
    <mergeCell ref="J104:J106"/>
    <mergeCell ref="L104:L106"/>
    <mergeCell ref="N104:N106"/>
    <mergeCell ref="P104:P106"/>
    <mergeCell ref="R104:R106"/>
    <mergeCell ref="T104:T106"/>
    <mergeCell ref="V104:V106"/>
    <mergeCell ref="X104:X106"/>
    <mergeCell ref="Z104:Z106"/>
    <mergeCell ref="W89:W94"/>
    <mergeCell ref="X89:X91"/>
    <mergeCell ref="Y89:Y94"/>
    <mergeCell ref="Z89:Z91"/>
    <mergeCell ref="AA89:AA94"/>
    <mergeCell ref="G92:G94"/>
    <mergeCell ref="H92:H94"/>
    <mergeCell ref="J92:J94"/>
    <mergeCell ref="L92:L94"/>
    <mergeCell ref="N92:N94"/>
    <mergeCell ref="P92:P94"/>
    <mergeCell ref="R92:R94"/>
    <mergeCell ref="T92:T94"/>
    <mergeCell ref="V92:V94"/>
    <mergeCell ref="X92:X94"/>
    <mergeCell ref="Z92:Z94"/>
    <mergeCell ref="N89:N91"/>
    <mergeCell ref="V110:V112"/>
    <mergeCell ref="S107:S112"/>
    <mergeCell ref="T107:T109"/>
    <mergeCell ref="U107:U112"/>
    <mergeCell ref="V107:V109"/>
    <mergeCell ref="W107:W112"/>
    <mergeCell ref="X107:X109"/>
    <mergeCell ref="Y107:Y112"/>
    <mergeCell ref="Z107:Z109"/>
    <mergeCell ref="AA107:AA112"/>
    <mergeCell ref="X110:X112"/>
    <mergeCell ref="Z110:Z112"/>
    <mergeCell ref="J107:J109"/>
    <mergeCell ref="K107:K112"/>
    <mergeCell ref="L107:L109"/>
    <mergeCell ref="M107:M112"/>
    <mergeCell ref="N107:N109"/>
    <mergeCell ref="O107:O112"/>
    <mergeCell ref="P107:P109"/>
    <mergeCell ref="Q107:Q112"/>
    <mergeCell ref="R107:R109"/>
    <mergeCell ref="E111:E112"/>
    <mergeCell ref="F111:F112"/>
    <mergeCell ref="B95:B112"/>
    <mergeCell ref="C115:C116"/>
    <mergeCell ref="D115:D116"/>
    <mergeCell ref="G115:G116"/>
    <mergeCell ref="H115:H116"/>
    <mergeCell ref="I115:I116"/>
    <mergeCell ref="J115:J116"/>
    <mergeCell ref="G110:G112"/>
    <mergeCell ref="H110:H112"/>
    <mergeCell ref="J110:J112"/>
    <mergeCell ref="L110:L112"/>
    <mergeCell ref="N110:N112"/>
    <mergeCell ref="P110:P112"/>
    <mergeCell ref="R110:R112"/>
    <mergeCell ref="T110:T112"/>
    <mergeCell ref="L95:L97"/>
    <mergeCell ref="M95:M100"/>
    <mergeCell ref="N95:N97"/>
    <mergeCell ref="O95:O100"/>
    <mergeCell ref="P95:P97"/>
    <mergeCell ref="P98:P100"/>
    <mergeCell ref="B113:B118"/>
    <mergeCell ref="D117:D118"/>
    <mergeCell ref="G117:G118"/>
    <mergeCell ref="H117:H118"/>
    <mergeCell ref="I117:I118"/>
    <mergeCell ref="J117:J118"/>
    <mergeCell ref="K117:K118"/>
    <mergeCell ref="L117:L118"/>
    <mergeCell ref="M117:M118"/>
    <mergeCell ref="N117:N118"/>
    <mergeCell ref="O117:O118"/>
    <mergeCell ref="P117:P118"/>
    <mergeCell ref="Q117:Q118"/>
    <mergeCell ref="R117:R118"/>
    <mergeCell ref="S117:S118"/>
    <mergeCell ref="T117:T118"/>
    <mergeCell ref="K115:K116"/>
    <mergeCell ref="L115:L116"/>
    <mergeCell ref="M115:M116"/>
    <mergeCell ref="N115:N116"/>
    <mergeCell ref="O115:O116"/>
    <mergeCell ref="P115:P116"/>
    <mergeCell ref="Q115:Q116"/>
    <mergeCell ref="R115:R116"/>
    <mergeCell ref="S115:S116"/>
    <mergeCell ref="T115:T116"/>
    <mergeCell ref="T119:T121"/>
    <mergeCell ref="R122:R124"/>
    <mergeCell ref="T122:T124"/>
    <mergeCell ref="AA125:AA130"/>
    <mergeCell ref="G128:G130"/>
    <mergeCell ref="H128:H130"/>
    <mergeCell ref="J128:J130"/>
    <mergeCell ref="L128:L130"/>
    <mergeCell ref="N128:N130"/>
    <mergeCell ref="P128:P130"/>
    <mergeCell ref="R128:R130"/>
    <mergeCell ref="T128:T130"/>
    <mergeCell ref="V128:V130"/>
    <mergeCell ref="X128:X130"/>
    <mergeCell ref="Z128:Z130"/>
    <mergeCell ref="U125:U130"/>
    <mergeCell ref="V125:V127"/>
    <mergeCell ref="W125:W130"/>
    <mergeCell ref="X125:X127"/>
    <mergeCell ref="Y125:Y130"/>
    <mergeCell ref="Z125:Z127"/>
    <mergeCell ref="Q125:Q130"/>
    <mergeCell ref="R125:R127"/>
    <mergeCell ref="S125:S130"/>
    <mergeCell ref="AA131:AA136"/>
    <mergeCell ref="U117:U118"/>
    <mergeCell ref="V117:V118"/>
    <mergeCell ref="W117:W118"/>
    <mergeCell ref="X117:X118"/>
    <mergeCell ref="Y117:Y118"/>
    <mergeCell ref="Z117:Z118"/>
    <mergeCell ref="AA143:AA148"/>
    <mergeCell ref="AA117:AA118"/>
    <mergeCell ref="V119:V121"/>
    <mergeCell ref="W119:W124"/>
    <mergeCell ref="X119:X121"/>
    <mergeCell ref="Y119:Y124"/>
    <mergeCell ref="Z119:Z121"/>
    <mergeCell ref="AA119:AA124"/>
    <mergeCell ref="V122:V124"/>
    <mergeCell ref="X122:X124"/>
    <mergeCell ref="Z122:Z124"/>
    <mergeCell ref="U119:U124"/>
    <mergeCell ref="X131:X133"/>
    <mergeCell ref="Y131:Y136"/>
    <mergeCell ref="Z146:Z148"/>
    <mergeCell ref="Z143:Z145"/>
    <mergeCell ref="AA137:AA142"/>
    <mergeCell ref="V134:V136"/>
    <mergeCell ref="X134:X136"/>
    <mergeCell ref="Z134:Z136"/>
    <mergeCell ref="Q131:Q136"/>
    <mergeCell ref="R131:R133"/>
    <mergeCell ref="S131:S136"/>
    <mergeCell ref="T131:T133"/>
    <mergeCell ref="U131:U136"/>
    <mergeCell ref="V131:V133"/>
    <mergeCell ref="W131:W136"/>
    <mergeCell ref="Z131:Z133"/>
    <mergeCell ref="J131:J133"/>
    <mergeCell ref="K131:K136"/>
    <mergeCell ref="L131:L133"/>
    <mergeCell ref="M131:M136"/>
    <mergeCell ref="N131:N133"/>
    <mergeCell ref="O131:O136"/>
    <mergeCell ref="P131:P133"/>
    <mergeCell ref="B119:B136"/>
    <mergeCell ref="C143:C148"/>
    <mergeCell ref="D143:D148"/>
    <mergeCell ref="G143:G145"/>
    <mergeCell ref="H143:H145"/>
    <mergeCell ref="I143:I148"/>
    <mergeCell ref="J143:J145"/>
    <mergeCell ref="E147:E148"/>
    <mergeCell ref="F147:F148"/>
    <mergeCell ref="B137:B148"/>
    <mergeCell ref="T125:T127"/>
    <mergeCell ref="I137:I142"/>
    <mergeCell ref="J137:J139"/>
    <mergeCell ref="K137:K142"/>
    <mergeCell ref="L137:L139"/>
    <mergeCell ref="M137:M142"/>
    <mergeCell ref="N137:N139"/>
    <mergeCell ref="C137:C142"/>
    <mergeCell ref="D137:D142"/>
    <mergeCell ref="G137:G139"/>
    <mergeCell ref="G134:G136"/>
    <mergeCell ref="H134:H136"/>
    <mergeCell ref="J134:J136"/>
    <mergeCell ref="L134:L136"/>
    <mergeCell ref="N134:N136"/>
    <mergeCell ref="P134:P136"/>
    <mergeCell ref="R134:R136"/>
    <mergeCell ref="T134:T136"/>
    <mergeCell ref="P119:P121"/>
    <mergeCell ref="Q119:Q124"/>
    <mergeCell ref="R119:R121"/>
    <mergeCell ref="S119:S124"/>
    <mergeCell ref="W149:W152"/>
    <mergeCell ref="X149:X152"/>
    <mergeCell ref="Y149:Y152"/>
    <mergeCell ref="J149:J152"/>
    <mergeCell ref="X159:X161"/>
    <mergeCell ref="Y159:Y164"/>
    <mergeCell ref="G146:G148"/>
    <mergeCell ref="H146:H148"/>
    <mergeCell ref="J146:J148"/>
    <mergeCell ref="L146:L148"/>
    <mergeCell ref="N146:N148"/>
    <mergeCell ref="P146:P148"/>
    <mergeCell ref="R146:R148"/>
    <mergeCell ref="T146:T148"/>
    <mergeCell ref="V146:V148"/>
    <mergeCell ref="X146:X148"/>
    <mergeCell ref="S153:S158"/>
    <mergeCell ref="T153:T155"/>
    <mergeCell ref="X162:X164"/>
    <mergeCell ref="U143:U148"/>
    <mergeCell ref="V143:V145"/>
    <mergeCell ref="W143:W148"/>
    <mergeCell ref="X143:X145"/>
    <mergeCell ref="Y143:Y148"/>
    <mergeCell ref="P156:P158"/>
    <mergeCell ref="V153:V155"/>
    <mergeCell ref="W153:W158"/>
    <mergeCell ref="X153:X155"/>
    <mergeCell ref="Y153:Y158"/>
    <mergeCell ref="P153:P155"/>
    <mergeCell ref="Q153:Q158"/>
    <mergeCell ref="R153:R155"/>
    <mergeCell ref="Z162:Z164"/>
    <mergeCell ref="O159:O164"/>
    <mergeCell ref="P159:P161"/>
    <mergeCell ref="Q159:Q164"/>
    <mergeCell ref="R159:R161"/>
    <mergeCell ref="S159:S164"/>
    <mergeCell ref="T159:T161"/>
    <mergeCell ref="U159:U164"/>
    <mergeCell ref="V159:V161"/>
    <mergeCell ref="W159:W164"/>
    <mergeCell ref="B149:B152"/>
    <mergeCell ref="C159:C164"/>
    <mergeCell ref="D159:D164"/>
    <mergeCell ref="G159:G161"/>
    <mergeCell ref="H159:H161"/>
    <mergeCell ref="I159:I164"/>
    <mergeCell ref="J159:J161"/>
    <mergeCell ref="K159:K164"/>
    <mergeCell ref="L159:L161"/>
    <mergeCell ref="E163:E164"/>
    <mergeCell ref="F163:F164"/>
    <mergeCell ref="B153:B164"/>
    <mergeCell ref="U153:U158"/>
    <mergeCell ref="R156:R158"/>
    <mergeCell ref="T156:T158"/>
    <mergeCell ref="J153:J155"/>
    <mergeCell ref="K153:K158"/>
    <mergeCell ref="L153:L155"/>
    <mergeCell ref="M153:M158"/>
    <mergeCell ref="N153:N155"/>
    <mergeCell ref="O153:O158"/>
    <mergeCell ref="E157:E158"/>
    <mergeCell ref="V171:V173"/>
    <mergeCell ref="G171:G173"/>
    <mergeCell ref="H171:H173"/>
    <mergeCell ref="I171:I176"/>
    <mergeCell ref="J171:J173"/>
    <mergeCell ref="K171:K176"/>
    <mergeCell ref="L171:L173"/>
    <mergeCell ref="M171:M176"/>
    <mergeCell ref="G162:G164"/>
    <mergeCell ref="H162:H164"/>
    <mergeCell ref="J162:J164"/>
    <mergeCell ref="L162:L164"/>
    <mergeCell ref="N162:N164"/>
    <mergeCell ref="P162:P164"/>
    <mergeCell ref="R162:R164"/>
    <mergeCell ref="T162:T164"/>
    <mergeCell ref="V162:V164"/>
    <mergeCell ref="G168:G170"/>
    <mergeCell ref="H168:H170"/>
    <mergeCell ref="J168:J170"/>
    <mergeCell ref="L168:L170"/>
    <mergeCell ref="N168:N170"/>
    <mergeCell ref="P168:P170"/>
    <mergeCell ref="R168:R170"/>
    <mergeCell ref="T168:T170"/>
    <mergeCell ref="V168:V170"/>
    <mergeCell ref="U165:U170"/>
    <mergeCell ref="V165:V167"/>
    <mergeCell ref="G165:G167"/>
    <mergeCell ref="H165:H167"/>
    <mergeCell ref="M159:M164"/>
    <mergeCell ref="N159:N161"/>
    <mergeCell ref="C171:C176"/>
    <mergeCell ref="D171:D176"/>
    <mergeCell ref="E175:E176"/>
    <mergeCell ref="F175:F176"/>
    <mergeCell ref="C165:C170"/>
    <mergeCell ref="D165:D170"/>
    <mergeCell ref="E169:E170"/>
    <mergeCell ref="F169:F170"/>
    <mergeCell ref="W171:W176"/>
    <mergeCell ref="X171:X173"/>
    <mergeCell ref="Y171:Y176"/>
    <mergeCell ref="Z171:Z173"/>
    <mergeCell ref="AA171:AA176"/>
    <mergeCell ref="G174:G176"/>
    <mergeCell ref="H174:H176"/>
    <mergeCell ref="J174:J176"/>
    <mergeCell ref="L174:L176"/>
    <mergeCell ref="N174:N176"/>
    <mergeCell ref="P174:P176"/>
    <mergeCell ref="R174:R176"/>
    <mergeCell ref="T174:T176"/>
    <mergeCell ref="V174:V176"/>
    <mergeCell ref="X174:X176"/>
    <mergeCell ref="Z174:Z176"/>
    <mergeCell ref="N171:N173"/>
    <mergeCell ref="O171:O176"/>
    <mergeCell ref="P171:P173"/>
    <mergeCell ref="Q171:Q176"/>
    <mergeCell ref="R171:R173"/>
    <mergeCell ref="S171:S176"/>
    <mergeCell ref="T171:T173"/>
    <mergeCell ref="U171:U176"/>
    <mergeCell ref="U209:U212"/>
    <mergeCell ref="V209:V212"/>
    <mergeCell ref="W209:W212"/>
    <mergeCell ref="X209:X212"/>
    <mergeCell ref="O205:O208"/>
    <mergeCell ref="P205:P208"/>
    <mergeCell ref="Q205:Q208"/>
    <mergeCell ref="R205:R208"/>
    <mergeCell ref="S205:S208"/>
    <mergeCell ref="T205:T208"/>
    <mergeCell ref="U205:U208"/>
    <mergeCell ref="V205:V208"/>
    <mergeCell ref="W205:W208"/>
    <mergeCell ref="B165:B182"/>
    <mergeCell ref="C205:C208"/>
    <mergeCell ref="D205:D208"/>
    <mergeCell ref="G205:G208"/>
    <mergeCell ref="H205:H208"/>
    <mergeCell ref="I205:I208"/>
    <mergeCell ref="J205:J208"/>
    <mergeCell ref="K205:K208"/>
    <mergeCell ref="L205:L208"/>
    <mergeCell ref="B183:B200"/>
    <mergeCell ref="C183:C188"/>
    <mergeCell ref="D183:D188"/>
    <mergeCell ref="G183:G185"/>
    <mergeCell ref="H183:H185"/>
    <mergeCell ref="I183:I188"/>
    <mergeCell ref="J183:J185"/>
    <mergeCell ref="K183:K188"/>
    <mergeCell ref="L183:L185"/>
    <mergeCell ref="C189:C194"/>
    <mergeCell ref="Y209:Y212"/>
    <mergeCell ref="Z209:Z212"/>
    <mergeCell ref="AA209:AA212"/>
    <mergeCell ref="B201:B212"/>
    <mergeCell ref="C230:C231"/>
    <mergeCell ref="D230:D231"/>
    <mergeCell ref="G230:G231"/>
    <mergeCell ref="H230:H231"/>
    <mergeCell ref="I230:I231"/>
    <mergeCell ref="J230:J231"/>
    <mergeCell ref="K230:K231"/>
    <mergeCell ref="L230:L231"/>
    <mergeCell ref="M230:M231"/>
    <mergeCell ref="N230:N231"/>
    <mergeCell ref="O230:O231"/>
    <mergeCell ref="P230:P231"/>
    <mergeCell ref="Q230:Q231"/>
    <mergeCell ref="R230:R231"/>
    <mergeCell ref="S230:S231"/>
    <mergeCell ref="T230:T231"/>
    <mergeCell ref="U230:U231"/>
    <mergeCell ref="V230:V231"/>
    <mergeCell ref="W230:W231"/>
    <mergeCell ref="X230:X231"/>
    <mergeCell ref="X205:X208"/>
    <mergeCell ref="Y205:Y208"/>
    <mergeCell ref="Z205:Z208"/>
    <mergeCell ref="AA205:AA208"/>
    <mergeCell ref="C209:C212"/>
    <mergeCell ref="D209:D212"/>
    <mergeCell ref="G209:G212"/>
    <mergeCell ref="H209:H212"/>
    <mergeCell ref="AA232:AA233"/>
    <mergeCell ref="B213:B215"/>
    <mergeCell ref="B228:B233"/>
    <mergeCell ref="C236:C237"/>
    <mergeCell ref="D236:D237"/>
    <mergeCell ref="G236:G237"/>
    <mergeCell ref="H236:H237"/>
    <mergeCell ref="I236:I237"/>
    <mergeCell ref="J236:J237"/>
    <mergeCell ref="K236:K237"/>
    <mergeCell ref="L236:L237"/>
    <mergeCell ref="M236:M237"/>
    <mergeCell ref="N236:N237"/>
    <mergeCell ref="O236:O237"/>
    <mergeCell ref="P236:P237"/>
    <mergeCell ref="Q236:Q237"/>
    <mergeCell ref="R236:R237"/>
    <mergeCell ref="S236:S237"/>
    <mergeCell ref="T236:T237"/>
    <mergeCell ref="U236:U237"/>
    <mergeCell ref="V236:V237"/>
    <mergeCell ref="W236:W237"/>
    <mergeCell ref="X236:X237"/>
    <mergeCell ref="Y230:Y231"/>
    <mergeCell ref="Z230:Z231"/>
    <mergeCell ref="AA230:AA231"/>
    <mergeCell ref="C232:C233"/>
    <mergeCell ref="D232:D233"/>
    <mergeCell ref="G232:G233"/>
    <mergeCell ref="H232:H233"/>
    <mergeCell ref="I232:I233"/>
    <mergeCell ref="J232:J233"/>
    <mergeCell ref="J238:J239"/>
    <mergeCell ref="K238:K239"/>
    <mergeCell ref="L238:L239"/>
    <mergeCell ref="M238:M239"/>
    <mergeCell ref="N238:N239"/>
    <mergeCell ref="O238:O239"/>
    <mergeCell ref="P238:P239"/>
    <mergeCell ref="Q238:Q239"/>
    <mergeCell ref="R238:R239"/>
    <mergeCell ref="S238:S239"/>
    <mergeCell ref="T238:T239"/>
    <mergeCell ref="U238:U239"/>
    <mergeCell ref="V238:V239"/>
    <mergeCell ref="W238:W239"/>
    <mergeCell ref="X238:X239"/>
    <mergeCell ref="Y238:Y239"/>
    <mergeCell ref="Z232:Z233"/>
    <mergeCell ref="K232:K233"/>
    <mergeCell ref="L232:L233"/>
    <mergeCell ref="M232:M233"/>
    <mergeCell ref="N232:N233"/>
    <mergeCell ref="O232:O233"/>
    <mergeCell ref="P232:P233"/>
    <mergeCell ref="Q232:Q233"/>
    <mergeCell ref="R232:R233"/>
    <mergeCell ref="S232:S233"/>
    <mergeCell ref="T232:T233"/>
    <mergeCell ref="U232:U233"/>
    <mergeCell ref="V232:V233"/>
    <mergeCell ref="W232:W233"/>
    <mergeCell ref="X232:X233"/>
    <mergeCell ref="Y232:Y233"/>
    <mergeCell ref="Z238:Z239"/>
    <mergeCell ref="AA238:AA239"/>
    <mergeCell ref="B234:B239"/>
    <mergeCell ref="C242:C243"/>
    <mergeCell ref="D242:D243"/>
    <mergeCell ref="G242:G243"/>
    <mergeCell ref="H242:H243"/>
    <mergeCell ref="I242:I243"/>
    <mergeCell ref="J242:J243"/>
    <mergeCell ref="K242:K243"/>
    <mergeCell ref="L242:L243"/>
    <mergeCell ref="M242:M243"/>
    <mergeCell ref="N242:N243"/>
    <mergeCell ref="O242:O243"/>
    <mergeCell ref="P242:P243"/>
    <mergeCell ref="Q242:Q243"/>
    <mergeCell ref="R242:R243"/>
    <mergeCell ref="S242:S243"/>
    <mergeCell ref="T242:T243"/>
    <mergeCell ref="U242:U243"/>
    <mergeCell ref="V242:V243"/>
    <mergeCell ref="W242:W243"/>
    <mergeCell ref="X242:X243"/>
    <mergeCell ref="Y242:Y243"/>
    <mergeCell ref="Y236:Y237"/>
    <mergeCell ref="Z236:Z237"/>
    <mergeCell ref="AA236:AA237"/>
    <mergeCell ref="C238:C239"/>
    <mergeCell ref="D238:D239"/>
    <mergeCell ref="G238:G239"/>
    <mergeCell ref="H238:H239"/>
    <mergeCell ref="I238:I239"/>
    <mergeCell ref="AA242:AA243"/>
    <mergeCell ref="C244:C245"/>
    <mergeCell ref="D244:D245"/>
    <mergeCell ref="G244:G245"/>
    <mergeCell ref="H244:H245"/>
    <mergeCell ref="I244:I245"/>
    <mergeCell ref="J244:J245"/>
    <mergeCell ref="K244:K245"/>
    <mergeCell ref="L244:L245"/>
    <mergeCell ref="M244:M245"/>
    <mergeCell ref="N244:N245"/>
    <mergeCell ref="O244:O245"/>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Z242:Z243"/>
    <mergeCell ref="N248:N249"/>
    <mergeCell ref="O248:O249"/>
    <mergeCell ref="P248:P249"/>
    <mergeCell ref="Q248:Q249"/>
    <mergeCell ref="R248:R249"/>
    <mergeCell ref="S248:S249"/>
    <mergeCell ref="T248:T249"/>
    <mergeCell ref="U248:U249"/>
    <mergeCell ref="B240:B245"/>
    <mergeCell ref="C248:C249"/>
    <mergeCell ref="D248:D249"/>
    <mergeCell ref="G248:G249"/>
    <mergeCell ref="H248:H249"/>
    <mergeCell ref="I248:I249"/>
    <mergeCell ref="J248:J249"/>
    <mergeCell ref="K248:K249"/>
    <mergeCell ref="L248:L249"/>
    <mergeCell ref="O240:O241"/>
    <mergeCell ref="W252:W253"/>
    <mergeCell ref="X252:X253"/>
    <mergeCell ref="Y252:Y253"/>
    <mergeCell ref="Z252:Z253"/>
    <mergeCell ref="S252:S253"/>
    <mergeCell ref="T252:T253"/>
    <mergeCell ref="U252:U253"/>
    <mergeCell ref="V248:V249"/>
    <mergeCell ref="W248:W249"/>
    <mergeCell ref="X248:X249"/>
    <mergeCell ref="Y248:Y249"/>
    <mergeCell ref="Z248:Z249"/>
    <mergeCell ref="AA248:AA249"/>
    <mergeCell ref="C250:C251"/>
    <mergeCell ref="D250:D251"/>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T250:T251"/>
    <mergeCell ref="U250:U251"/>
    <mergeCell ref="V250:V251"/>
    <mergeCell ref="M248:M249"/>
    <mergeCell ref="Z258:Z259"/>
    <mergeCell ref="I260:I261"/>
    <mergeCell ref="J260:J261"/>
    <mergeCell ref="K260:K261"/>
    <mergeCell ref="L260:L261"/>
    <mergeCell ref="M260:M261"/>
    <mergeCell ref="X258:X259"/>
    <mergeCell ref="W250:W251"/>
    <mergeCell ref="X250:X251"/>
    <mergeCell ref="Y250:Y251"/>
    <mergeCell ref="Z250:Z251"/>
    <mergeCell ref="AA250:AA251"/>
    <mergeCell ref="C254:C255"/>
    <mergeCell ref="D254:D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V254:V255"/>
    <mergeCell ref="W254:W255"/>
    <mergeCell ref="V252:V253"/>
    <mergeCell ref="Z254:Z255"/>
    <mergeCell ref="AA254:AA255"/>
    <mergeCell ref="C256:C257"/>
    <mergeCell ref="D256:D257"/>
    <mergeCell ref="G256:G257"/>
    <mergeCell ref="H256:H257"/>
    <mergeCell ref="I256:I257"/>
    <mergeCell ref="J256:J257"/>
    <mergeCell ref="K256:K257"/>
    <mergeCell ref="L256:L257"/>
    <mergeCell ref="M256:M257"/>
    <mergeCell ref="N256:N257"/>
    <mergeCell ref="O256:O257"/>
    <mergeCell ref="P256:P257"/>
    <mergeCell ref="Q256:Q257"/>
    <mergeCell ref="R256:R257"/>
    <mergeCell ref="S256:S257"/>
    <mergeCell ref="T256:T257"/>
    <mergeCell ref="U256:U257"/>
    <mergeCell ref="V256:V257"/>
    <mergeCell ref="W256:W257"/>
    <mergeCell ref="X256:X257"/>
    <mergeCell ref="Y256:Y257"/>
    <mergeCell ref="Z256:Z257"/>
    <mergeCell ref="Y262:Y263"/>
    <mergeCell ref="Z262:Z263"/>
    <mergeCell ref="AA262:AA263"/>
    <mergeCell ref="B246:B251"/>
    <mergeCell ref="B252:B257"/>
    <mergeCell ref="B258:B263"/>
    <mergeCell ref="B265:B266"/>
    <mergeCell ref="N262:N263"/>
    <mergeCell ref="O262:O263"/>
    <mergeCell ref="P262:P263"/>
    <mergeCell ref="Q262:Q263"/>
    <mergeCell ref="R262:R263"/>
    <mergeCell ref="S262:S263"/>
    <mergeCell ref="T262:T263"/>
    <mergeCell ref="U262:U263"/>
    <mergeCell ref="V262:V263"/>
    <mergeCell ref="C262:C263"/>
    <mergeCell ref="D262:D263"/>
    <mergeCell ref="G262:G263"/>
    <mergeCell ref="H262:H263"/>
    <mergeCell ref="I262:I263"/>
    <mergeCell ref="J262:J263"/>
    <mergeCell ref="K262:K263"/>
    <mergeCell ref="L262:L263"/>
    <mergeCell ref="M262:M263"/>
    <mergeCell ref="AA256:AA257"/>
    <mergeCell ref="C260:C261"/>
    <mergeCell ref="D260:D261"/>
    <mergeCell ref="G260:G261"/>
    <mergeCell ref="H260:H261"/>
    <mergeCell ref="Z260:Z261"/>
    <mergeCell ref="AA260:AA261"/>
    <mergeCell ref="X268:Y268"/>
    <mergeCell ref="Z268:AA268"/>
    <mergeCell ref="C270:G270"/>
    <mergeCell ref="H270:I270"/>
    <mergeCell ref="J270:K270"/>
    <mergeCell ref="L270:M270"/>
    <mergeCell ref="N270:O270"/>
    <mergeCell ref="P270:Q270"/>
    <mergeCell ref="R270:S270"/>
    <mergeCell ref="T270:U270"/>
    <mergeCell ref="V270:W270"/>
    <mergeCell ref="X270:Y270"/>
    <mergeCell ref="Z270:AA270"/>
    <mergeCell ref="C268:G268"/>
    <mergeCell ref="H268:I268"/>
    <mergeCell ref="J268:K268"/>
    <mergeCell ref="L268:M268"/>
    <mergeCell ref="N268:O268"/>
    <mergeCell ref="P268:Q268"/>
    <mergeCell ref="R268:S268"/>
    <mergeCell ref="T268:U268"/>
    <mergeCell ref="V268:W268"/>
    <mergeCell ref="C269:G269"/>
    <mergeCell ref="H269:I269"/>
    <mergeCell ref="J269:K269"/>
    <mergeCell ref="L269:M269"/>
    <mergeCell ref="N269:O269"/>
    <mergeCell ref="P269:Q269"/>
    <mergeCell ref="R269:S269"/>
    <mergeCell ref="T269:U269"/>
    <mergeCell ref="V269:W269"/>
    <mergeCell ref="X269:Y269"/>
    <mergeCell ref="AA183:AA188"/>
    <mergeCell ref="G186:G188"/>
    <mergeCell ref="H186:H188"/>
    <mergeCell ref="J186:J188"/>
    <mergeCell ref="L186:L188"/>
    <mergeCell ref="N186:N188"/>
    <mergeCell ref="P186:P188"/>
    <mergeCell ref="R186:R188"/>
    <mergeCell ref="T186:T188"/>
    <mergeCell ref="V186:V188"/>
    <mergeCell ref="X186:X188"/>
    <mergeCell ref="Z186:Z188"/>
    <mergeCell ref="O183:O188"/>
    <mergeCell ref="P183:P185"/>
    <mergeCell ref="Q183:Q188"/>
    <mergeCell ref="R183:R185"/>
    <mergeCell ref="S183:S188"/>
    <mergeCell ref="T183:T185"/>
    <mergeCell ref="U183:U188"/>
    <mergeCell ref="V183:V185"/>
    <mergeCell ref="W183:W188"/>
    <mergeCell ref="AA189:AA194"/>
    <mergeCell ref="G192:G194"/>
    <mergeCell ref="H192:H194"/>
    <mergeCell ref="J192:J194"/>
    <mergeCell ref="L192:L194"/>
    <mergeCell ref="N192:N194"/>
    <mergeCell ref="P192:P194"/>
    <mergeCell ref="R192:R194"/>
    <mergeCell ref="T192:T194"/>
    <mergeCell ref="V192:V194"/>
    <mergeCell ref="X192:X194"/>
    <mergeCell ref="Z192:Z194"/>
    <mergeCell ref="K189:K194"/>
    <mergeCell ref="L189:L191"/>
    <mergeCell ref="M189:M194"/>
    <mergeCell ref="N189:N191"/>
    <mergeCell ref="O189:O194"/>
    <mergeCell ref="P189:P191"/>
    <mergeCell ref="Q189:Q194"/>
    <mergeCell ref="R189:R191"/>
    <mergeCell ref="S189:S194"/>
    <mergeCell ref="G189:G191"/>
    <mergeCell ref="H189:H191"/>
    <mergeCell ref="I189:I194"/>
    <mergeCell ref="J189:J191"/>
    <mergeCell ref="E193:E194"/>
    <mergeCell ref="F193:F194"/>
    <mergeCell ref="C195:C200"/>
    <mergeCell ref="D195:D200"/>
    <mergeCell ref="G195:G197"/>
    <mergeCell ref="H195:H197"/>
    <mergeCell ref="I195:I200"/>
    <mergeCell ref="J195:J197"/>
    <mergeCell ref="K195:K200"/>
    <mergeCell ref="E199:E200"/>
    <mergeCell ref="F199:F200"/>
    <mergeCell ref="T189:T191"/>
    <mergeCell ref="T216:T217"/>
    <mergeCell ref="C216:C217"/>
    <mergeCell ref="D216:D217"/>
    <mergeCell ref="E216:E217"/>
    <mergeCell ref="F216:F217"/>
    <mergeCell ref="G216:G217"/>
    <mergeCell ref="H216:H217"/>
    <mergeCell ref="I216:I217"/>
    <mergeCell ref="J216:J217"/>
    <mergeCell ref="K216:K217"/>
    <mergeCell ref="L209:L212"/>
    <mergeCell ref="M209:M212"/>
    <mergeCell ref="N209:N212"/>
    <mergeCell ref="O209:O212"/>
    <mergeCell ref="P209:P212"/>
    <mergeCell ref="Q209:Q212"/>
    <mergeCell ref="R209:R212"/>
    <mergeCell ref="S209:S212"/>
    <mergeCell ref="T209:T212"/>
    <mergeCell ref="D189:D194"/>
    <mergeCell ref="U195:U200"/>
    <mergeCell ref="V195:V197"/>
    <mergeCell ref="W195:W200"/>
    <mergeCell ref="X195:X197"/>
    <mergeCell ref="Y195:Y200"/>
    <mergeCell ref="Z195:Z197"/>
    <mergeCell ref="AA195:AA200"/>
    <mergeCell ref="G198:G200"/>
    <mergeCell ref="H198:H200"/>
    <mergeCell ref="J198:J200"/>
    <mergeCell ref="L198:L200"/>
    <mergeCell ref="N198:N200"/>
    <mergeCell ref="P198:P200"/>
    <mergeCell ref="R198:R200"/>
    <mergeCell ref="T198:T200"/>
    <mergeCell ref="V198:V200"/>
    <mergeCell ref="X198:X200"/>
    <mergeCell ref="Z198:Z200"/>
    <mergeCell ref="L195:L197"/>
    <mergeCell ref="M195:M200"/>
    <mergeCell ref="N195:N197"/>
    <mergeCell ref="O195:O200"/>
    <mergeCell ref="Q195:Q200"/>
    <mergeCell ref="R195:R197"/>
    <mergeCell ref="S195:S200"/>
    <mergeCell ref="T195:T197"/>
    <mergeCell ref="Y216:Y217"/>
    <mergeCell ref="Z216:Z217"/>
    <mergeCell ref="AA216:AA217"/>
    <mergeCell ref="C222:C223"/>
    <mergeCell ref="D222:D223"/>
    <mergeCell ref="E222:E223"/>
    <mergeCell ref="F222:F223"/>
    <mergeCell ref="G222:G223"/>
    <mergeCell ref="H222:H223"/>
    <mergeCell ref="I222:I223"/>
    <mergeCell ref="J222:J223"/>
    <mergeCell ref="K222:K223"/>
    <mergeCell ref="L222:L223"/>
    <mergeCell ref="M222:M223"/>
    <mergeCell ref="N222:N223"/>
    <mergeCell ref="O222:O223"/>
    <mergeCell ref="P222:P223"/>
    <mergeCell ref="Q222:Q223"/>
    <mergeCell ref="R222:R223"/>
    <mergeCell ref="S222:S223"/>
    <mergeCell ref="L216:L217"/>
    <mergeCell ref="M216:M217"/>
    <mergeCell ref="N216:N217"/>
    <mergeCell ref="O216:O217"/>
    <mergeCell ref="P216:P217"/>
    <mergeCell ref="Q216:Q217"/>
    <mergeCell ref="R216:R217"/>
    <mergeCell ref="S216:S217"/>
    <mergeCell ref="T222:T223"/>
    <mergeCell ref="AA222:AA223"/>
    <mergeCell ref="C218:C219"/>
    <mergeCell ref="D218:D219"/>
    <mergeCell ref="E218:E219"/>
    <mergeCell ref="F218:F219"/>
    <mergeCell ref="G218:G219"/>
    <mergeCell ref="H218:H219"/>
    <mergeCell ref="I218:I219"/>
    <mergeCell ref="J218:J219"/>
    <mergeCell ref="K218:K219"/>
    <mergeCell ref="L218:L219"/>
    <mergeCell ref="M218:M219"/>
    <mergeCell ref="N218:N219"/>
    <mergeCell ref="O218:O219"/>
    <mergeCell ref="P218:P219"/>
    <mergeCell ref="Q218:Q219"/>
    <mergeCell ref="R218:R219"/>
    <mergeCell ref="U220:U221"/>
    <mergeCell ref="V220:V221"/>
    <mergeCell ref="W220:W221"/>
    <mergeCell ref="X220:X221"/>
    <mergeCell ref="Y220:Y221"/>
    <mergeCell ref="Z220:Z221"/>
    <mergeCell ref="AA220:AA221"/>
    <mergeCell ref="U218:U219"/>
    <mergeCell ref="V218:V219"/>
    <mergeCell ref="W218:W219"/>
    <mergeCell ref="X218:X219"/>
    <mergeCell ref="Y218:Y219"/>
    <mergeCell ref="Z218:Z219"/>
    <mergeCell ref="AA218:AA219"/>
    <mergeCell ref="Y222:Y223"/>
    <mergeCell ref="B216:B221"/>
    <mergeCell ref="L220:L221"/>
    <mergeCell ref="M220:M221"/>
    <mergeCell ref="N220:N221"/>
    <mergeCell ref="O220:O221"/>
    <mergeCell ref="P220:P221"/>
    <mergeCell ref="Q220:Q221"/>
    <mergeCell ref="R220:R221"/>
    <mergeCell ref="S220:S221"/>
    <mergeCell ref="T220:T221"/>
    <mergeCell ref="C220:C221"/>
    <mergeCell ref="D220:D221"/>
    <mergeCell ref="E220:E221"/>
    <mergeCell ref="F220:F221"/>
    <mergeCell ref="G220:G221"/>
    <mergeCell ref="H220:H221"/>
    <mergeCell ref="I220:I221"/>
    <mergeCell ref="J220:J221"/>
    <mergeCell ref="K220:K221"/>
    <mergeCell ref="S218:S219"/>
    <mergeCell ref="T218:T219"/>
    <mergeCell ref="P226:P227"/>
    <mergeCell ref="U216:U217"/>
    <mergeCell ref="V226:V227"/>
    <mergeCell ref="W226:W227"/>
    <mergeCell ref="X226:X227"/>
    <mergeCell ref="C224:C225"/>
    <mergeCell ref="D224:D225"/>
    <mergeCell ref="E224:E225"/>
    <mergeCell ref="F224:F225"/>
    <mergeCell ref="G224:G225"/>
    <mergeCell ref="H224:H225"/>
    <mergeCell ref="I224:I225"/>
    <mergeCell ref="J224:J225"/>
    <mergeCell ref="K224:K225"/>
    <mergeCell ref="L224:L225"/>
    <mergeCell ref="M224:M225"/>
    <mergeCell ref="N224:N225"/>
    <mergeCell ref="O224:O225"/>
    <mergeCell ref="P224:P225"/>
    <mergeCell ref="Q224:Q225"/>
    <mergeCell ref="R224:R225"/>
    <mergeCell ref="Q226:Q227"/>
    <mergeCell ref="R226:R227"/>
    <mergeCell ref="S226:S227"/>
    <mergeCell ref="T226:T227"/>
    <mergeCell ref="U226:U227"/>
    <mergeCell ref="V216:V217"/>
    <mergeCell ref="W216:W217"/>
    <mergeCell ref="X216:X217"/>
    <mergeCell ref="Z222:Z223"/>
    <mergeCell ref="Y226:Y227"/>
    <mergeCell ref="Z226:Z227"/>
    <mergeCell ref="AA226:AA227"/>
    <mergeCell ref="U222:U223"/>
    <mergeCell ref="V222:V223"/>
    <mergeCell ref="W222:W223"/>
    <mergeCell ref="X222:X223"/>
    <mergeCell ref="Z269:AA269"/>
    <mergeCell ref="B222:B227"/>
    <mergeCell ref="S224:S225"/>
    <mergeCell ref="T224:T225"/>
    <mergeCell ref="U224:U225"/>
    <mergeCell ref="V224:V225"/>
    <mergeCell ref="W224:W225"/>
    <mergeCell ref="X224:X225"/>
    <mergeCell ref="Y224:Y225"/>
    <mergeCell ref="Z224:Z225"/>
    <mergeCell ref="AA224:AA225"/>
    <mergeCell ref="C226:C227"/>
    <mergeCell ref="D226:D227"/>
    <mergeCell ref="E226:E227"/>
    <mergeCell ref="F226:F227"/>
    <mergeCell ref="G226:G227"/>
    <mergeCell ref="H226:H227"/>
    <mergeCell ref="I226:I227"/>
    <mergeCell ref="J226:J227"/>
    <mergeCell ref="K226:K227"/>
    <mergeCell ref="L226:L227"/>
    <mergeCell ref="M226:M227"/>
    <mergeCell ref="N226:N227"/>
    <mergeCell ref="O226:O227"/>
  </mergeCells>
  <printOptions horizontalCentered="1" verticalCentered="1"/>
  <pageMargins left="0.25" right="0.25" top="0.15" bottom="0.25" header="0.05" footer="0.3"/>
  <pageSetup paperSize="3" scale="51" fitToHeight="6"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89"/>
  <sheetViews>
    <sheetView topLeftCell="K61" workbookViewId="0">
      <selection activeCell="P78" sqref="P78"/>
    </sheetView>
  </sheetViews>
  <sheetFormatPr defaultRowHeight="14.4" x14ac:dyDescent="0.3"/>
  <cols>
    <col min="4" max="4" width="10.44140625" customWidth="1"/>
    <col min="5" max="5" width="14.109375" customWidth="1"/>
    <col min="7" max="7" width="54" customWidth="1"/>
    <col min="8" max="11" width="21.6640625" customWidth="1"/>
    <col min="12" max="12" width="9.6640625" customWidth="1"/>
    <col min="13" max="13" width="43.6640625" customWidth="1"/>
    <col min="14" max="14" width="9.6640625" customWidth="1"/>
    <col min="15" max="15" width="16.33203125" customWidth="1"/>
    <col min="16" max="21" width="9.6640625" customWidth="1"/>
  </cols>
  <sheetData>
    <row r="4" spans="1:24" ht="15" thickBot="1" x14ac:dyDescent="0.35"/>
    <row r="5" spans="1:24" ht="36.6" thickBot="1" x14ac:dyDescent="0.35">
      <c r="G5" s="43" t="s">
        <v>1</v>
      </c>
      <c r="H5" s="44" t="s">
        <v>105</v>
      </c>
      <c r="I5" s="45" t="s">
        <v>106</v>
      </c>
      <c r="J5" s="44" t="s">
        <v>22</v>
      </c>
      <c r="K5" s="44" t="s">
        <v>107</v>
      </c>
    </row>
    <row r="6" spans="1:24" ht="18" x14ac:dyDescent="0.3">
      <c r="A6" s="46"/>
      <c r="B6" s="46"/>
      <c r="C6" s="46"/>
      <c r="G6" s="47" t="s">
        <v>17</v>
      </c>
      <c r="H6" s="48">
        <v>223.965</v>
      </c>
      <c r="I6" s="49">
        <v>384.06600000000003</v>
      </c>
      <c r="J6" s="48">
        <v>856.56600000000003</v>
      </c>
      <c r="K6" s="48">
        <v>843.06600000000003</v>
      </c>
      <c r="L6" s="3"/>
      <c r="Q6" s="3"/>
      <c r="R6" s="3"/>
      <c r="S6" s="3"/>
      <c r="T6" s="3"/>
      <c r="U6" s="3"/>
      <c r="V6" s="3"/>
      <c r="W6" s="3"/>
      <c r="X6" s="3"/>
    </row>
    <row r="7" spans="1:24" s="50" customFormat="1" ht="18" x14ac:dyDescent="0.3">
      <c r="A7" s="46"/>
      <c r="B7" s="46"/>
      <c r="C7" s="46"/>
      <c r="G7" s="51" t="s">
        <v>25</v>
      </c>
      <c r="H7" s="52">
        <v>223.965</v>
      </c>
      <c r="I7" s="53">
        <v>384.06600000000003</v>
      </c>
      <c r="J7" s="52">
        <v>960.25500000000011</v>
      </c>
      <c r="K7" s="52">
        <v>946.75500000000011</v>
      </c>
      <c r="L7" s="54"/>
      <c r="Q7" s="54"/>
      <c r="R7" s="54"/>
      <c r="S7" s="54"/>
      <c r="T7" s="54"/>
      <c r="U7" s="54"/>
      <c r="V7" s="55"/>
      <c r="W7" s="55"/>
      <c r="X7" s="55"/>
    </row>
    <row r="8" spans="1:24" ht="18" x14ac:dyDescent="0.3">
      <c r="A8" s="46"/>
      <c r="B8" s="46"/>
      <c r="C8" s="46"/>
      <c r="G8" s="56" t="s">
        <v>26</v>
      </c>
      <c r="H8" s="57">
        <v>223.965</v>
      </c>
      <c r="I8" s="58">
        <v>384.06600000000003</v>
      </c>
      <c r="J8" s="57">
        <v>960.25500000000011</v>
      </c>
      <c r="K8" s="57">
        <v>946.75500000000011</v>
      </c>
      <c r="L8" s="59"/>
      <c r="Q8" s="3"/>
      <c r="R8" s="3"/>
      <c r="S8" s="3"/>
      <c r="T8" s="3"/>
      <c r="U8" s="3"/>
      <c r="V8" s="3"/>
      <c r="W8" s="3"/>
      <c r="X8" s="3"/>
    </row>
    <row r="9" spans="1:24" ht="18" x14ac:dyDescent="0.3">
      <c r="A9" s="46"/>
      <c r="B9" s="46"/>
      <c r="C9" s="46"/>
      <c r="G9" s="56" t="s">
        <v>28</v>
      </c>
      <c r="H9" s="57">
        <v>597.24900000000002</v>
      </c>
      <c r="I9" s="58">
        <v>810.71100000000001</v>
      </c>
      <c r="J9" s="57">
        <v>2481.444</v>
      </c>
      <c r="K9" s="57">
        <v>13884.507</v>
      </c>
      <c r="L9" s="59"/>
      <c r="Q9" s="60"/>
      <c r="R9" s="60"/>
      <c r="S9" s="60"/>
      <c r="T9" s="60"/>
      <c r="U9" s="60"/>
      <c r="V9" s="60"/>
      <c r="W9" s="60"/>
      <c r="X9" s="3"/>
    </row>
    <row r="10" spans="1:24" s="50" customFormat="1" ht="18" x14ac:dyDescent="0.3">
      <c r="A10" s="46"/>
      <c r="B10" s="46"/>
      <c r="C10" s="46"/>
      <c r="G10" s="61" t="s">
        <v>31</v>
      </c>
      <c r="H10" s="62">
        <v>700.9380000000001</v>
      </c>
      <c r="I10" s="63">
        <v>914.4</v>
      </c>
      <c r="J10" s="62">
        <v>2035.1969999999999</v>
      </c>
      <c r="K10" s="62">
        <v>13438.260000000002</v>
      </c>
      <c r="L10" s="54"/>
      <c r="Q10" s="60"/>
      <c r="R10" s="60"/>
      <c r="S10" s="60"/>
      <c r="T10" s="60"/>
      <c r="U10" s="60"/>
      <c r="V10" s="60"/>
      <c r="W10" s="60"/>
      <c r="X10" s="55"/>
    </row>
    <row r="11" spans="1:24" ht="18" x14ac:dyDescent="0.3">
      <c r="A11" s="46"/>
      <c r="B11" s="46"/>
      <c r="C11" s="46"/>
      <c r="G11" s="56" t="s">
        <v>32</v>
      </c>
      <c r="H11" s="57">
        <v>700.9380000000001</v>
      </c>
      <c r="I11" s="58">
        <v>914.4</v>
      </c>
      <c r="J11" s="57">
        <v>2481.444</v>
      </c>
      <c r="K11" s="57">
        <v>13884.507</v>
      </c>
      <c r="L11" s="59"/>
      <c r="Q11" s="64"/>
      <c r="R11" s="64"/>
      <c r="S11" s="64"/>
      <c r="T11" s="64"/>
      <c r="U11" s="64"/>
      <c r="V11" s="64"/>
      <c r="W11" s="64"/>
      <c r="X11" s="3"/>
    </row>
    <row r="12" spans="1:24" ht="18" x14ac:dyDescent="0.3">
      <c r="A12" s="46"/>
      <c r="B12" s="46"/>
      <c r="C12" s="46"/>
      <c r="G12" s="56" t="s">
        <v>108</v>
      </c>
      <c r="H12" s="57">
        <v>201</v>
      </c>
      <c r="I12" s="58">
        <v>545</v>
      </c>
      <c r="J12" s="57">
        <v>976</v>
      </c>
      <c r="K12" s="57">
        <v>3827</v>
      </c>
      <c r="L12" s="59"/>
      <c r="Q12" s="64"/>
      <c r="R12" s="64"/>
      <c r="S12" s="64"/>
      <c r="T12" s="64"/>
      <c r="U12" s="64"/>
      <c r="V12" s="64"/>
      <c r="W12" s="64"/>
      <c r="X12" s="3"/>
    </row>
    <row r="13" spans="1:24" ht="18" x14ac:dyDescent="0.3">
      <c r="A13" s="46"/>
      <c r="B13" s="46"/>
      <c r="C13" s="46"/>
      <c r="G13" s="56" t="s">
        <v>164</v>
      </c>
      <c r="H13" s="57">
        <v>201</v>
      </c>
      <c r="I13" s="58">
        <v>545</v>
      </c>
      <c r="J13" s="57">
        <v>976</v>
      </c>
      <c r="K13" s="57">
        <v>3827</v>
      </c>
      <c r="L13" s="59"/>
      <c r="Q13" s="64"/>
      <c r="R13" s="64"/>
      <c r="S13" s="64"/>
      <c r="T13" s="64"/>
      <c r="U13" s="64"/>
      <c r="V13" s="64"/>
      <c r="W13" s="64"/>
      <c r="X13" s="3"/>
    </row>
    <row r="14" spans="1:24" ht="18" x14ac:dyDescent="0.3">
      <c r="A14" s="46"/>
      <c r="B14" s="46"/>
      <c r="C14" s="46"/>
      <c r="G14" s="56" t="s">
        <v>109</v>
      </c>
      <c r="H14" s="57">
        <v>402.31349999999998</v>
      </c>
      <c r="I14" s="58">
        <v>1091.4975000000002</v>
      </c>
      <c r="J14" s="57">
        <v>1952.3384999999998</v>
      </c>
      <c r="K14" s="57">
        <v>7653.87</v>
      </c>
      <c r="L14" s="59"/>
      <c r="Q14" s="59"/>
      <c r="R14" s="59"/>
      <c r="S14" s="59"/>
      <c r="T14" s="59"/>
      <c r="U14" s="59"/>
      <c r="V14" s="59"/>
      <c r="W14" s="59"/>
      <c r="X14" s="3"/>
    </row>
    <row r="15" spans="1:24" ht="18" x14ac:dyDescent="0.3">
      <c r="A15" s="46"/>
      <c r="B15" s="46"/>
      <c r="C15" s="46"/>
      <c r="G15" s="56" t="s">
        <v>37</v>
      </c>
      <c r="H15" s="57">
        <v>295.92900000000003</v>
      </c>
      <c r="I15" s="58">
        <v>509.39100000000002</v>
      </c>
      <c r="J15" s="57">
        <v>1026.8910000000001</v>
      </c>
      <c r="K15" s="57">
        <v>1045.7460000000001</v>
      </c>
      <c r="L15" s="59"/>
      <c r="Q15" s="59"/>
      <c r="R15" s="59"/>
      <c r="S15" s="59"/>
      <c r="T15" s="59"/>
      <c r="U15" s="59"/>
      <c r="V15" s="3"/>
      <c r="W15" s="3"/>
      <c r="X15" s="3"/>
    </row>
    <row r="16" spans="1:24" ht="38.25" customHeight="1" x14ac:dyDescent="0.3">
      <c r="A16" s="46"/>
      <c r="B16" s="46"/>
      <c r="C16" s="46"/>
      <c r="D16" s="65"/>
      <c r="G16" s="56" t="s">
        <v>39</v>
      </c>
      <c r="H16" s="57">
        <v>295.92900000000003</v>
      </c>
      <c r="I16" s="58">
        <v>509.39100000000002</v>
      </c>
      <c r="J16" s="57">
        <v>1026.8910000000001</v>
      </c>
      <c r="K16" s="57">
        <v>1045.7460000000001</v>
      </c>
      <c r="L16" s="59"/>
      <c r="Q16" s="59"/>
      <c r="R16" s="59"/>
      <c r="S16" s="59"/>
      <c r="T16" s="59"/>
      <c r="U16" s="59"/>
      <c r="V16" s="3"/>
      <c r="W16" s="3"/>
      <c r="X16" s="3"/>
    </row>
    <row r="17" spans="1:24" ht="18" x14ac:dyDescent="0.3">
      <c r="A17" s="46"/>
      <c r="B17" s="46"/>
      <c r="C17" s="46"/>
      <c r="D17" s="65"/>
      <c r="G17" s="56" t="s">
        <v>40</v>
      </c>
      <c r="H17" s="57">
        <v>295.92900000000003</v>
      </c>
      <c r="I17" s="58">
        <v>509.39100000000002</v>
      </c>
      <c r="J17" s="57">
        <v>1026.8910000000001</v>
      </c>
      <c r="K17" s="57">
        <v>1045.7460000000001</v>
      </c>
      <c r="L17" s="59"/>
      <c r="Q17" s="59"/>
      <c r="R17" s="59"/>
      <c r="S17" s="59"/>
      <c r="T17" s="59"/>
      <c r="U17" s="59"/>
      <c r="V17" s="3"/>
      <c r="W17" s="3"/>
      <c r="X17" s="3"/>
    </row>
    <row r="18" spans="1:24" ht="18" x14ac:dyDescent="0.3">
      <c r="A18" s="46"/>
      <c r="B18" s="46"/>
      <c r="C18" s="46"/>
      <c r="D18" s="65"/>
      <c r="G18" s="56" t="s">
        <v>94</v>
      </c>
      <c r="H18" s="57">
        <v>139.97812500000001</v>
      </c>
      <c r="I18" s="58">
        <v>300.07912499999998</v>
      </c>
      <c r="J18" s="57">
        <v>772.57912499999998</v>
      </c>
      <c r="K18" s="57">
        <v>733.46742000000006</v>
      </c>
      <c r="L18" s="59"/>
      <c r="Q18" s="59"/>
      <c r="R18" s="59"/>
      <c r="S18" s="59"/>
      <c r="T18" s="59"/>
      <c r="U18" s="59"/>
      <c r="V18" s="3"/>
      <c r="W18" s="3"/>
      <c r="X18" s="3"/>
    </row>
    <row r="19" spans="1:24" ht="18" x14ac:dyDescent="0.3">
      <c r="A19" s="46"/>
      <c r="B19" s="46"/>
      <c r="C19" s="46"/>
      <c r="D19" s="65"/>
      <c r="G19" s="56" t="s">
        <v>110</v>
      </c>
      <c r="H19" s="57">
        <v>139.97812500000001</v>
      </c>
      <c r="I19" s="58">
        <v>300.07912499999998</v>
      </c>
      <c r="J19" s="57">
        <v>772.57912499999998</v>
      </c>
      <c r="K19" s="57">
        <v>733.46742000000006</v>
      </c>
      <c r="L19" s="59"/>
      <c r="Q19" s="59"/>
      <c r="R19" s="59"/>
      <c r="S19" s="59"/>
      <c r="T19" s="59"/>
      <c r="U19" s="59"/>
      <c r="V19" s="3"/>
      <c r="W19" s="3"/>
      <c r="X19" s="3"/>
    </row>
    <row r="20" spans="1:24" ht="18" x14ac:dyDescent="0.3">
      <c r="A20" s="46"/>
      <c r="B20" s="46"/>
      <c r="C20" s="46"/>
      <c r="D20" s="65"/>
      <c r="G20" s="56" t="s">
        <v>111</v>
      </c>
      <c r="H20" s="57">
        <v>139.97812500000001</v>
      </c>
      <c r="I20" s="58">
        <v>300.07912499999998</v>
      </c>
      <c r="J20" s="57">
        <v>772.57912499999998</v>
      </c>
      <c r="K20" s="57">
        <v>733.46742000000006</v>
      </c>
      <c r="L20" s="59"/>
      <c r="Q20" s="59"/>
      <c r="R20" s="59"/>
      <c r="S20" s="59"/>
      <c r="T20" s="59"/>
      <c r="U20" s="59"/>
      <c r="V20" s="3"/>
      <c r="W20" s="3"/>
      <c r="X20" s="3"/>
    </row>
    <row r="21" spans="1:24" ht="18" x14ac:dyDescent="0.3">
      <c r="A21" s="46"/>
      <c r="B21" s="46"/>
      <c r="C21" s="46"/>
      <c r="D21" s="65"/>
      <c r="G21" s="56" t="s">
        <v>44</v>
      </c>
      <c r="H21" s="57">
        <v>139.97812500000001</v>
      </c>
      <c r="I21" s="58">
        <v>300.07912499999998</v>
      </c>
      <c r="J21" s="57">
        <v>772.57912499999998</v>
      </c>
      <c r="K21" s="57">
        <v>733.46742000000006</v>
      </c>
      <c r="L21" s="59"/>
      <c r="Q21" s="59"/>
      <c r="R21" s="59"/>
      <c r="S21" s="59"/>
      <c r="T21" s="59"/>
      <c r="U21" s="59"/>
      <c r="V21" s="3"/>
      <c r="W21" s="3"/>
      <c r="X21" s="3"/>
    </row>
    <row r="22" spans="1:24" ht="18" x14ac:dyDescent="0.3">
      <c r="A22" s="46"/>
      <c r="B22" s="46"/>
      <c r="C22" s="46"/>
      <c r="D22" s="65"/>
      <c r="G22" s="56" t="s">
        <v>112</v>
      </c>
      <c r="H22" s="57">
        <v>139.97812500000001</v>
      </c>
      <c r="I22" s="58">
        <v>300.07912499999998</v>
      </c>
      <c r="J22" s="57">
        <v>772.57912499999998</v>
      </c>
      <c r="K22" s="57">
        <v>733.46742000000006</v>
      </c>
      <c r="L22" s="59"/>
      <c r="Q22" s="59"/>
      <c r="R22" s="59"/>
      <c r="S22" s="59"/>
      <c r="T22" s="59"/>
      <c r="U22" s="59"/>
      <c r="V22" s="3"/>
      <c r="W22" s="3"/>
      <c r="X22" s="3"/>
    </row>
    <row r="23" spans="1:24" ht="18" x14ac:dyDescent="0.3">
      <c r="A23" s="46"/>
      <c r="B23" s="46"/>
      <c r="C23" s="46"/>
      <c r="D23" s="65"/>
      <c r="G23" s="56" t="s">
        <v>113</v>
      </c>
      <c r="H23" s="57">
        <v>200</v>
      </c>
      <c r="I23" s="58">
        <v>400</v>
      </c>
      <c r="J23" s="57">
        <v>800</v>
      </c>
      <c r="K23" s="57">
        <v>800</v>
      </c>
      <c r="L23" s="59"/>
      <c r="Q23" s="59"/>
      <c r="R23" s="59"/>
      <c r="S23" s="59"/>
      <c r="T23" s="59"/>
      <c r="U23" s="59"/>
      <c r="V23" s="3"/>
      <c r="W23" s="3"/>
      <c r="X23" s="3"/>
    </row>
    <row r="24" spans="1:24" ht="18" x14ac:dyDescent="0.3">
      <c r="A24" s="46"/>
      <c r="B24" s="46"/>
      <c r="C24" s="46"/>
      <c r="D24" s="46"/>
      <c r="G24" s="56" t="s">
        <v>114</v>
      </c>
      <c r="H24" s="57">
        <v>150.05655000000002</v>
      </c>
      <c r="I24" s="58">
        <v>413.84654999999998</v>
      </c>
      <c r="J24" s="57">
        <v>1378.79955</v>
      </c>
      <c r="K24" s="57">
        <v>1588.6207979999999</v>
      </c>
      <c r="L24" s="59"/>
      <c r="M24" s="59"/>
      <c r="N24" s="59"/>
      <c r="O24" s="59"/>
      <c r="P24" s="59"/>
      <c r="Q24" s="59"/>
      <c r="R24" s="59"/>
      <c r="S24" s="59"/>
      <c r="T24" s="59"/>
      <c r="U24" s="59"/>
      <c r="V24" s="3"/>
      <c r="W24" s="3"/>
      <c r="X24" s="3"/>
    </row>
    <row r="25" spans="1:24" ht="18" x14ac:dyDescent="0.3">
      <c r="A25" s="46"/>
      <c r="B25" s="46"/>
      <c r="C25" s="46"/>
      <c r="D25" s="46"/>
      <c r="G25" s="56" t="s">
        <v>115</v>
      </c>
      <c r="H25" s="57">
        <v>150.05655000000002</v>
      </c>
      <c r="I25" s="58">
        <v>413.84654999999998</v>
      </c>
      <c r="J25" s="57">
        <v>1378.79955</v>
      </c>
      <c r="K25" s="57">
        <v>1588.6207979999999</v>
      </c>
      <c r="L25" s="59"/>
      <c r="M25" s="59"/>
      <c r="N25" s="59"/>
      <c r="O25" s="59"/>
      <c r="P25" s="59"/>
      <c r="Q25" s="59"/>
      <c r="R25" s="59"/>
      <c r="S25" s="59"/>
      <c r="T25" s="59"/>
      <c r="U25" s="59"/>
      <c r="V25" s="3"/>
      <c r="W25" s="3"/>
      <c r="X25" s="3"/>
    </row>
    <row r="26" spans="1:24" ht="18" x14ac:dyDescent="0.3">
      <c r="A26" s="46"/>
      <c r="B26" s="46"/>
      <c r="C26" s="46"/>
      <c r="D26" s="46"/>
      <c r="G26" s="56" t="s">
        <v>116</v>
      </c>
      <c r="H26" s="57">
        <v>200</v>
      </c>
      <c r="I26" s="58">
        <v>600</v>
      </c>
      <c r="J26" s="57">
        <v>1500</v>
      </c>
      <c r="K26" s="57">
        <v>1800</v>
      </c>
      <c r="L26" s="59"/>
      <c r="M26" s="59"/>
      <c r="N26" s="59"/>
      <c r="O26" s="59"/>
      <c r="P26" s="59"/>
      <c r="Q26" s="59"/>
      <c r="R26" s="59"/>
      <c r="S26" s="59"/>
      <c r="T26" s="59"/>
      <c r="U26" s="59"/>
      <c r="V26" s="3"/>
      <c r="W26" s="3"/>
      <c r="X26" s="3"/>
    </row>
    <row r="27" spans="1:24" ht="18" x14ac:dyDescent="0.3">
      <c r="A27" s="46"/>
      <c r="B27" s="46"/>
      <c r="C27" s="46"/>
      <c r="D27" s="46"/>
      <c r="G27" s="56" t="s">
        <v>117</v>
      </c>
      <c r="H27" s="57">
        <v>279.95625000000001</v>
      </c>
      <c r="I27" s="58">
        <v>543.74625000000003</v>
      </c>
      <c r="J27" s="57">
        <v>1598.6992500000001</v>
      </c>
      <c r="K27" s="57">
        <v>1588.6207979999999</v>
      </c>
      <c r="L27" s="59"/>
      <c r="M27" s="59"/>
      <c r="N27" s="59"/>
      <c r="O27" s="59"/>
      <c r="P27" s="59"/>
      <c r="Q27" s="59"/>
      <c r="R27" s="59"/>
      <c r="S27" s="59"/>
      <c r="T27" s="59"/>
      <c r="U27" s="59"/>
      <c r="V27" s="3"/>
      <c r="W27" s="3"/>
      <c r="X27" s="3"/>
    </row>
    <row r="28" spans="1:24" ht="18" x14ac:dyDescent="0.3">
      <c r="A28" s="46"/>
      <c r="B28" s="46"/>
      <c r="C28" s="46"/>
      <c r="D28" s="46"/>
      <c r="G28" s="56" t="s">
        <v>118</v>
      </c>
      <c r="H28" s="57">
        <v>400</v>
      </c>
      <c r="I28" s="58">
        <v>750</v>
      </c>
      <c r="J28" s="57">
        <v>1599</v>
      </c>
      <c r="K28" s="57">
        <v>1589</v>
      </c>
      <c r="L28" s="59"/>
      <c r="M28" s="59"/>
      <c r="N28" s="59"/>
      <c r="O28" s="59"/>
      <c r="P28" s="59"/>
      <c r="Q28" s="59"/>
      <c r="R28" s="59"/>
      <c r="S28" s="59"/>
      <c r="T28" s="59"/>
      <c r="U28" s="59"/>
      <c r="V28" s="3"/>
      <c r="W28" s="3"/>
      <c r="X28" s="3"/>
    </row>
    <row r="29" spans="1:24" ht="18" x14ac:dyDescent="0.3">
      <c r="A29" s="46"/>
      <c r="B29" s="46"/>
      <c r="C29" s="46"/>
      <c r="D29" s="46"/>
      <c r="G29" s="56" t="s">
        <v>50</v>
      </c>
      <c r="H29" s="57">
        <v>195.96937500000001</v>
      </c>
      <c r="I29" s="58">
        <v>356.07037499999996</v>
      </c>
      <c r="J29" s="57">
        <v>603.57037500000001</v>
      </c>
      <c r="K29" s="57">
        <v>0</v>
      </c>
      <c r="L29" s="59"/>
      <c r="M29" s="59"/>
      <c r="N29" s="59"/>
      <c r="O29" s="59"/>
      <c r="P29" s="59"/>
      <c r="Q29" s="59"/>
      <c r="R29" s="59"/>
      <c r="S29" s="59"/>
      <c r="T29" s="59"/>
      <c r="U29" s="59"/>
      <c r="V29" s="3"/>
      <c r="W29" s="3"/>
      <c r="X29" s="3"/>
    </row>
    <row r="30" spans="1:24" ht="18" x14ac:dyDescent="0.3">
      <c r="A30" s="46"/>
      <c r="B30" s="46"/>
      <c r="C30" s="46"/>
      <c r="D30" s="46"/>
      <c r="G30" s="56" t="s">
        <v>119</v>
      </c>
      <c r="H30" s="57">
        <v>223.965</v>
      </c>
      <c r="I30" s="58">
        <v>384.06600000000003</v>
      </c>
      <c r="J30" s="57">
        <v>1081.566</v>
      </c>
      <c r="K30" s="57">
        <v>1433.2122000000002</v>
      </c>
      <c r="L30" s="59"/>
      <c r="M30" s="59"/>
      <c r="N30" s="59"/>
      <c r="O30" s="59"/>
      <c r="P30" s="59"/>
      <c r="Q30" s="59"/>
      <c r="R30" s="59"/>
      <c r="S30" s="59"/>
      <c r="T30" s="59"/>
      <c r="U30" s="59"/>
    </row>
    <row r="31" spans="1:24" ht="18" x14ac:dyDescent="0.3">
      <c r="A31" s="46"/>
      <c r="B31" s="46"/>
      <c r="C31" s="46"/>
      <c r="D31" s="46"/>
      <c r="G31" s="56" t="s">
        <v>120</v>
      </c>
      <c r="H31" s="57">
        <v>223.965</v>
      </c>
      <c r="I31" s="58">
        <v>384.06600000000003</v>
      </c>
      <c r="J31" s="57">
        <v>1081.566</v>
      </c>
      <c r="K31" s="57">
        <v>1433.2122000000002</v>
      </c>
      <c r="L31" s="59"/>
      <c r="M31" s="59"/>
      <c r="N31" s="59"/>
      <c r="O31" s="59"/>
      <c r="P31" s="59"/>
      <c r="Q31" s="59"/>
      <c r="R31" s="59"/>
      <c r="S31" s="59"/>
      <c r="T31" s="59"/>
      <c r="U31" s="59"/>
    </row>
    <row r="32" spans="1:24" ht="18" x14ac:dyDescent="0.3">
      <c r="A32" s="46"/>
      <c r="B32" s="46"/>
      <c r="C32" s="46"/>
      <c r="D32" s="46"/>
      <c r="G32" s="56" t="s">
        <v>121</v>
      </c>
      <c r="H32" s="57">
        <v>139.97812500000001</v>
      </c>
      <c r="I32" s="58">
        <v>300.07912499999998</v>
      </c>
      <c r="J32" s="57">
        <v>660.07912499999998</v>
      </c>
      <c r="K32" s="57">
        <v>843.06600000000003</v>
      </c>
      <c r="L32" s="59"/>
      <c r="M32" s="59"/>
      <c r="N32" s="59"/>
      <c r="O32" s="59"/>
      <c r="P32" s="59"/>
      <c r="Q32" s="59"/>
      <c r="R32" s="59"/>
      <c r="S32" s="59"/>
      <c r="T32" s="59"/>
      <c r="U32" s="59"/>
    </row>
    <row r="33" spans="1:21" ht="18" x14ac:dyDescent="0.3">
      <c r="A33" s="46"/>
      <c r="B33" s="46"/>
      <c r="C33" s="46"/>
      <c r="D33" s="46"/>
      <c r="G33" s="56" t="s">
        <v>122</v>
      </c>
      <c r="H33" s="57">
        <v>139.97812500000001</v>
      </c>
      <c r="I33" s="58">
        <v>300.07912499999998</v>
      </c>
      <c r="J33" s="57">
        <v>660.07912499999998</v>
      </c>
      <c r="K33" s="57">
        <v>843.06600000000003</v>
      </c>
      <c r="L33" s="59"/>
      <c r="M33" s="59"/>
      <c r="N33" s="59"/>
      <c r="O33" s="59"/>
      <c r="P33" s="59"/>
      <c r="Q33" s="59"/>
      <c r="R33" s="59"/>
      <c r="S33" s="59"/>
      <c r="T33" s="59"/>
      <c r="U33" s="59"/>
    </row>
    <row r="34" spans="1:21" ht="18" x14ac:dyDescent="0.3">
      <c r="A34" s="46"/>
      <c r="B34" s="46"/>
      <c r="C34" s="46"/>
      <c r="D34" s="46"/>
      <c r="G34" s="56" t="s">
        <v>123</v>
      </c>
      <c r="H34" s="57">
        <v>200</v>
      </c>
      <c r="I34" s="58">
        <v>400</v>
      </c>
      <c r="J34" s="57">
        <v>800</v>
      </c>
      <c r="K34" s="57">
        <v>1000</v>
      </c>
      <c r="L34" s="59"/>
      <c r="M34" s="59"/>
      <c r="N34" s="59"/>
      <c r="O34" s="59"/>
      <c r="P34" s="59"/>
      <c r="Q34" s="59"/>
      <c r="R34" s="59"/>
      <c r="S34" s="59"/>
      <c r="T34" s="59"/>
      <c r="U34" s="59"/>
    </row>
    <row r="35" spans="1:21" ht="18" x14ac:dyDescent="0.3">
      <c r="A35" s="46"/>
      <c r="B35" s="46"/>
      <c r="C35" s="46"/>
      <c r="D35" s="46"/>
      <c r="G35" s="66" t="s">
        <v>124</v>
      </c>
      <c r="H35" s="57">
        <v>139.97812500000001</v>
      </c>
      <c r="I35" s="58">
        <v>300.07912499999998</v>
      </c>
      <c r="J35" s="57">
        <v>660.07912499999998</v>
      </c>
      <c r="K35" s="57">
        <v>843.06600000000003</v>
      </c>
      <c r="L35" s="59"/>
      <c r="M35" s="59"/>
      <c r="N35" s="59"/>
      <c r="O35" s="59"/>
      <c r="P35" s="59"/>
      <c r="Q35" s="59"/>
      <c r="R35" s="59"/>
      <c r="S35" s="59"/>
      <c r="T35" s="59"/>
      <c r="U35" s="59"/>
    </row>
    <row r="36" spans="1:21" ht="18" x14ac:dyDescent="0.3">
      <c r="A36" s="46"/>
      <c r="B36" s="46"/>
      <c r="C36" s="46"/>
      <c r="D36" s="46"/>
      <c r="G36" s="66" t="s">
        <v>125</v>
      </c>
      <c r="H36" s="67">
        <v>139.97812500000001</v>
      </c>
      <c r="I36" s="68">
        <v>300.07912499999998</v>
      </c>
      <c r="J36" s="67">
        <v>660.07912499999998</v>
      </c>
      <c r="K36" s="67">
        <v>843.06600000000003</v>
      </c>
      <c r="L36" s="59"/>
      <c r="M36" s="59"/>
      <c r="N36" s="59"/>
      <c r="O36" s="59"/>
      <c r="P36" s="59"/>
      <c r="Q36" s="59"/>
      <c r="R36" s="59"/>
      <c r="S36" s="59"/>
      <c r="T36" s="59"/>
      <c r="U36" s="59"/>
    </row>
    <row r="37" spans="1:21" ht="18" x14ac:dyDescent="0.3">
      <c r="A37" s="46"/>
      <c r="B37" s="46"/>
      <c r="C37" s="46"/>
      <c r="D37" s="46"/>
      <c r="G37" s="66" t="s">
        <v>126</v>
      </c>
      <c r="H37" s="57">
        <v>200</v>
      </c>
      <c r="I37" s="58">
        <v>400</v>
      </c>
      <c r="J37" s="57">
        <v>800</v>
      </c>
      <c r="K37" s="57">
        <v>1000</v>
      </c>
      <c r="L37" s="59"/>
      <c r="M37" s="59"/>
      <c r="N37" s="59"/>
      <c r="O37" s="59"/>
      <c r="P37" s="59"/>
      <c r="Q37" s="59"/>
      <c r="R37" s="59"/>
      <c r="S37" s="59"/>
      <c r="T37" s="59"/>
      <c r="U37" s="59"/>
    </row>
    <row r="38" spans="1:21" ht="18.600000000000001" thickBot="1" x14ac:dyDescent="0.35">
      <c r="A38" s="46"/>
      <c r="B38" s="46"/>
      <c r="C38" s="46"/>
      <c r="D38" s="46"/>
      <c r="G38" s="69" t="s">
        <v>127</v>
      </c>
      <c r="H38" s="70">
        <v>501.04800000000006</v>
      </c>
      <c r="I38" s="71">
        <v>714.5100000000001</v>
      </c>
      <c r="J38" s="70">
        <v>962.0100000000001</v>
      </c>
      <c r="K38" s="70">
        <v>0</v>
      </c>
      <c r="L38" s="59"/>
      <c r="M38" s="59"/>
      <c r="N38" s="59"/>
      <c r="O38" s="59"/>
      <c r="P38" s="59"/>
      <c r="Q38" s="59"/>
      <c r="R38" s="59"/>
      <c r="S38" s="59"/>
      <c r="T38" s="59"/>
      <c r="U38" s="59"/>
    </row>
    <row r="39" spans="1:21" ht="18.600000000000001" thickBot="1" x14ac:dyDescent="0.35">
      <c r="A39" s="46"/>
      <c r="B39" s="46"/>
      <c r="C39" s="46"/>
      <c r="D39" s="46"/>
      <c r="G39" s="69" t="s">
        <v>128</v>
      </c>
      <c r="H39" s="70">
        <v>501.04800000000006</v>
      </c>
      <c r="I39" s="71">
        <v>714.5100000000001</v>
      </c>
      <c r="J39" s="70">
        <v>962.0100000000001</v>
      </c>
      <c r="K39" s="70">
        <v>0</v>
      </c>
      <c r="L39" s="59"/>
      <c r="M39" s="59"/>
      <c r="N39" s="59"/>
      <c r="O39" s="59"/>
      <c r="P39" s="59"/>
      <c r="Q39" s="59"/>
      <c r="R39" s="59"/>
      <c r="S39" s="59"/>
      <c r="T39" s="59"/>
      <c r="U39" s="59"/>
    </row>
    <row r="40" spans="1:21" ht="18.600000000000001" thickBot="1" x14ac:dyDescent="0.35">
      <c r="A40" s="46"/>
      <c r="B40" s="46"/>
      <c r="C40" s="46"/>
      <c r="D40" s="46"/>
      <c r="G40" s="69" t="s">
        <v>129</v>
      </c>
      <c r="H40" s="70">
        <v>501.04800000000006</v>
      </c>
      <c r="I40" s="71">
        <v>714.5100000000001</v>
      </c>
      <c r="J40" s="70">
        <v>962.0100000000001</v>
      </c>
      <c r="K40" s="70">
        <v>0</v>
      </c>
      <c r="L40" s="59"/>
      <c r="M40" s="59"/>
      <c r="N40" s="59"/>
      <c r="O40" s="59"/>
      <c r="P40" s="59"/>
      <c r="Q40" s="59"/>
      <c r="R40" s="59"/>
      <c r="S40" s="59"/>
      <c r="T40" s="59"/>
      <c r="U40" s="59"/>
    </row>
    <row r="41" spans="1:21" ht="18" x14ac:dyDescent="0.3">
      <c r="A41" s="46"/>
      <c r="B41" s="46"/>
      <c r="C41" s="46"/>
      <c r="D41" s="46"/>
      <c r="G41" s="72"/>
      <c r="H41" s="73"/>
      <c r="I41" s="73"/>
      <c r="J41" s="73"/>
      <c r="K41" s="73"/>
      <c r="L41" s="59"/>
      <c r="M41" s="59"/>
      <c r="N41" s="59"/>
      <c r="O41" s="59"/>
      <c r="P41" s="59"/>
      <c r="Q41" s="59"/>
      <c r="R41" s="59"/>
      <c r="S41" s="59"/>
      <c r="T41" s="59"/>
      <c r="U41" s="59"/>
    </row>
    <row r="42" spans="1:21" x14ac:dyDescent="0.3">
      <c r="L42" s="3"/>
      <c r="M42" s="3"/>
      <c r="N42" s="3"/>
      <c r="O42" s="3"/>
      <c r="P42" s="3"/>
      <c r="Q42" s="3"/>
      <c r="R42" s="3"/>
      <c r="S42" s="3"/>
      <c r="T42" s="3"/>
      <c r="U42" s="3"/>
    </row>
    <row r="43" spans="1:21" ht="15" thickBot="1" x14ac:dyDescent="0.35"/>
    <row r="44" spans="1:21" ht="36.6" thickBot="1" x14ac:dyDescent="0.35">
      <c r="M44" s="43" t="s">
        <v>130</v>
      </c>
      <c r="N44" s="45" t="s">
        <v>131</v>
      </c>
      <c r="O44" s="44" t="s">
        <v>107</v>
      </c>
    </row>
    <row r="45" spans="1:21" ht="18" x14ac:dyDescent="0.3">
      <c r="M45" s="74" t="s">
        <v>132</v>
      </c>
      <c r="N45" s="75">
        <v>0.05</v>
      </c>
      <c r="O45" s="76">
        <v>900</v>
      </c>
      <c r="P45" s="3"/>
    </row>
    <row r="46" spans="1:21" ht="18" x14ac:dyDescent="0.3">
      <c r="M46" s="66" t="s">
        <v>133</v>
      </c>
      <c r="N46" s="77">
        <v>0.05</v>
      </c>
      <c r="O46" s="57">
        <v>900</v>
      </c>
      <c r="P46" s="3"/>
    </row>
    <row r="47" spans="1:21" ht="18" x14ac:dyDescent="0.3">
      <c r="M47" s="6" t="s">
        <v>134</v>
      </c>
      <c r="N47" s="78">
        <v>0.05</v>
      </c>
      <c r="O47" s="79">
        <v>900</v>
      </c>
      <c r="P47" s="3"/>
    </row>
    <row r="48" spans="1:21" ht="18" x14ac:dyDescent="0.3">
      <c r="M48" s="66" t="s">
        <v>135</v>
      </c>
      <c r="N48" s="77">
        <v>0.01</v>
      </c>
      <c r="O48" s="57">
        <v>4085</v>
      </c>
      <c r="P48" s="54"/>
    </row>
    <row r="49" spans="13:16" ht="18" x14ac:dyDescent="0.3">
      <c r="M49" s="66" t="s">
        <v>136</v>
      </c>
      <c r="N49" s="77">
        <v>0.02</v>
      </c>
      <c r="O49" s="57">
        <v>4085</v>
      </c>
      <c r="P49" s="54"/>
    </row>
    <row r="50" spans="13:16" ht="18" x14ac:dyDescent="0.3">
      <c r="M50" s="66" t="s">
        <v>137</v>
      </c>
      <c r="N50" s="77">
        <v>0.01</v>
      </c>
      <c r="O50" s="57">
        <v>4085</v>
      </c>
      <c r="P50" s="54"/>
    </row>
    <row r="51" spans="13:16" ht="18" x14ac:dyDescent="0.3">
      <c r="M51" s="66" t="s">
        <v>138</v>
      </c>
      <c r="N51" s="80">
        <v>5.0000000000000001E-3</v>
      </c>
      <c r="O51" s="57">
        <v>10250</v>
      </c>
      <c r="P51" s="3"/>
    </row>
    <row r="52" spans="13:16" ht="18" x14ac:dyDescent="0.3">
      <c r="M52" s="66" t="s">
        <v>139</v>
      </c>
      <c r="N52" s="80">
        <v>0.01</v>
      </c>
      <c r="O52" s="57">
        <v>10250</v>
      </c>
      <c r="P52" s="3"/>
    </row>
    <row r="53" spans="13:16" ht="18" x14ac:dyDescent="0.3">
      <c r="M53" s="66" t="s">
        <v>140</v>
      </c>
      <c r="N53" s="80">
        <v>5.0000000000000001E-3</v>
      </c>
      <c r="O53" s="57">
        <v>10250</v>
      </c>
      <c r="P53" s="3"/>
    </row>
    <row r="54" spans="13:16" ht="18" x14ac:dyDescent="0.3">
      <c r="M54" s="66" t="s">
        <v>141</v>
      </c>
      <c r="N54" s="77">
        <v>0.01</v>
      </c>
      <c r="O54" s="57">
        <v>5195</v>
      </c>
      <c r="P54" s="81"/>
    </row>
    <row r="55" spans="13:16" ht="18" x14ac:dyDescent="0.3">
      <c r="M55" s="66" t="s">
        <v>142</v>
      </c>
      <c r="N55" s="77">
        <v>0.02</v>
      </c>
      <c r="O55" s="57">
        <v>5195</v>
      </c>
      <c r="P55" s="81"/>
    </row>
    <row r="56" spans="13:16" ht="18" x14ac:dyDescent="0.3">
      <c r="M56" s="66" t="s">
        <v>143</v>
      </c>
      <c r="N56" s="77">
        <v>0.01</v>
      </c>
      <c r="O56" s="57">
        <v>5195</v>
      </c>
      <c r="P56" s="81"/>
    </row>
    <row r="57" spans="13:16" ht="18" x14ac:dyDescent="0.3">
      <c r="M57" s="66" t="s">
        <v>144</v>
      </c>
      <c r="N57" s="77">
        <v>0.01</v>
      </c>
      <c r="O57" s="57">
        <v>7118</v>
      </c>
      <c r="P57" s="60"/>
    </row>
    <row r="58" spans="13:16" ht="18" x14ac:dyDescent="0.3">
      <c r="M58" s="66" t="s">
        <v>145</v>
      </c>
      <c r="N58" s="77">
        <v>0.01</v>
      </c>
      <c r="O58" s="57">
        <v>7118</v>
      </c>
      <c r="P58" s="60"/>
    </row>
    <row r="59" spans="13:16" ht="18" x14ac:dyDescent="0.3">
      <c r="M59" s="66" t="s">
        <v>146</v>
      </c>
      <c r="N59" s="77">
        <v>0.01</v>
      </c>
      <c r="O59" s="57">
        <v>7118</v>
      </c>
      <c r="P59" s="60"/>
    </row>
    <row r="60" spans="13:16" ht="18" x14ac:dyDescent="0.3">
      <c r="M60" s="66" t="s">
        <v>147</v>
      </c>
      <c r="N60" s="77">
        <v>0.01</v>
      </c>
      <c r="O60" s="57">
        <v>1593</v>
      </c>
      <c r="P60" s="64"/>
    </row>
    <row r="61" spans="13:16" ht="18" x14ac:dyDescent="0.3">
      <c r="M61" s="66" t="s">
        <v>148</v>
      </c>
      <c r="N61" s="77">
        <v>0.02</v>
      </c>
      <c r="O61" s="57">
        <v>1593</v>
      </c>
      <c r="P61" s="64"/>
    </row>
    <row r="62" spans="13:16" ht="17.25" customHeight="1" x14ac:dyDescent="0.3">
      <c r="M62" s="66" t="s">
        <v>149</v>
      </c>
      <c r="N62" s="77">
        <v>0.01</v>
      </c>
      <c r="O62" s="57">
        <v>1593</v>
      </c>
      <c r="P62" s="64"/>
    </row>
    <row r="63" spans="13:16" ht="18" x14ac:dyDescent="0.3">
      <c r="M63" s="66" t="s">
        <v>97</v>
      </c>
      <c r="N63" s="77">
        <v>0.02</v>
      </c>
      <c r="O63" s="57">
        <v>2993</v>
      </c>
      <c r="P63" s="59"/>
    </row>
    <row r="64" spans="13:16" ht="18" x14ac:dyDescent="0.3">
      <c r="M64" s="66" t="s">
        <v>97</v>
      </c>
      <c r="N64" s="77">
        <v>0.02</v>
      </c>
      <c r="O64" s="57">
        <v>2993</v>
      </c>
      <c r="P64" s="59"/>
    </row>
    <row r="65" spans="13:16" ht="18.600000000000001" thickBot="1" x14ac:dyDescent="0.35">
      <c r="M65" s="82" t="s">
        <v>97</v>
      </c>
      <c r="N65" s="83">
        <v>0.02</v>
      </c>
      <c r="O65" s="84">
        <v>2993</v>
      </c>
      <c r="P65" s="59"/>
    </row>
    <row r="66" spans="13:16" ht="18" x14ac:dyDescent="0.3">
      <c r="M66" s="85"/>
      <c r="N66" s="78"/>
      <c r="O66" s="73"/>
      <c r="P66" s="59"/>
    </row>
    <row r="67" spans="13:16" ht="15" thickBot="1" x14ac:dyDescent="0.35">
      <c r="M67" s="59"/>
      <c r="N67" s="59"/>
      <c r="O67" s="59"/>
      <c r="P67" s="59"/>
    </row>
    <row r="68" spans="13:16" ht="18.600000000000001" thickBot="1" x14ac:dyDescent="0.35">
      <c r="M68" s="43" t="s">
        <v>130</v>
      </c>
      <c r="N68" s="209" t="s">
        <v>150</v>
      </c>
      <c r="O68" s="210"/>
      <c r="P68" s="86" t="s">
        <v>151</v>
      </c>
    </row>
    <row r="69" spans="13:16" ht="18" x14ac:dyDescent="0.3">
      <c r="M69" s="74" t="s">
        <v>152</v>
      </c>
      <c r="N69" s="211">
        <v>700</v>
      </c>
      <c r="O69" s="212"/>
      <c r="P69" s="87" t="s">
        <v>153</v>
      </c>
    </row>
    <row r="70" spans="13:16" ht="18" x14ac:dyDescent="0.3">
      <c r="M70" s="88" t="s">
        <v>154</v>
      </c>
      <c r="N70" s="207">
        <v>1000</v>
      </c>
      <c r="O70" s="208"/>
      <c r="P70" s="89" t="s">
        <v>153</v>
      </c>
    </row>
    <row r="71" spans="13:16" ht="18" x14ac:dyDescent="0.3">
      <c r="M71" s="6" t="s">
        <v>155</v>
      </c>
      <c r="N71" s="207">
        <v>1200</v>
      </c>
      <c r="O71" s="208"/>
      <c r="P71" s="90" t="s">
        <v>153</v>
      </c>
    </row>
    <row r="72" spans="13:16" ht="18" x14ac:dyDescent="0.3">
      <c r="M72" s="66" t="s">
        <v>207</v>
      </c>
      <c r="N72" s="207">
        <v>4488</v>
      </c>
      <c r="O72" s="208"/>
      <c r="P72" s="91" t="s">
        <v>153</v>
      </c>
    </row>
    <row r="73" spans="13:16" ht="18" x14ac:dyDescent="0.3">
      <c r="M73" s="66" t="s">
        <v>208</v>
      </c>
      <c r="N73" s="207">
        <f>N72*0.8</f>
        <v>3590.4</v>
      </c>
      <c r="O73" s="208"/>
      <c r="P73" s="91" t="s">
        <v>153</v>
      </c>
    </row>
    <row r="74" spans="13:16" ht="18" x14ac:dyDescent="0.3">
      <c r="M74" s="66" t="s">
        <v>209</v>
      </c>
      <c r="N74" s="207">
        <f>N73*0.9</f>
        <v>3231.36</v>
      </c>
      <c r="O74" s="208"/>
      <c r="P74" s="91" t="s">
        <v>153</v>
      </c>
    </row>
    <row r="75" spans="13:16" ht="18" x14ac:dyDescent="0.3">
      <c r="M75" s="66" t="s">
        <v>156</v>
      </c>
      <c r="N75" s="207">
        <v>500</v>
      </c>
      <c r="O75" s="208"/>
      <c r="P75" s="92" t="s">
        <v>157</v>
      </c>
    </row>
    <row r="76" spans="13:16" ht="18" x14ac:dyDescent="0.3">
      <c r="M76" s="66" t="s">
        <v>158</v>
      </c>
      <c r="N76" s="207">
        <v>500</v>
      </c>
      <c r="O76" s="208"/>
      <c r="P76" s="92" t="s">
        <v>157</v>
      </c>
    </row>
    <row r="77" spans="13:16" ht="18.600000000000001" thickBot="1" x14ac:dyDescent="0.35">
      <c r="M77" s="82" t="s">
        <v>159</v>
      </c>
      <c r="N77" s="205">
        <v>500</v>
      </c>
      <c r="O77" s="206"/>
      <c r="P77" s="93" t="s">
        <v>157</v>
      </c>
    </row>
    <row r="78" spans="13:16" ht="18.600000000000001" thickBot="1" x14ac:dyDescent="0.35">
      <c r="M78" s="82" t="s">
        <v>266</v>
      </c>
      <c r="N78" s="205">
        <v>1000</v>
      </c>
      <c r="O78" s="206"/>
      <c r="P78" s="93" t="s">
        <v>267</v>
      </c>
    </row>
    <row r="79" spans="13:16" ht="18" x14ac:dyDescent="0.3">
      <c r="M79" s="85"/>
      <c r="N79" s="73"/>
      <c r="O79" s="73"/>
      <c r="P79" s="59"/>
    </row>
    <row r="80" spans="13:16" ht="15" thickBot="1" x14ac:dyDescent="0.35"/>
    <row r="81" spans="13:14" ht="36.6" thickBot="1" x14ac:dyDescent="0.35">
      <c r="M81" s="44" t="s">
        <v>160</v>
      </c>
      <c r="N81" s="44" t="s">
        <v>161</v>
      </c>
    </row>
    <row r="82" spans="13:14" x14ac:dyDescent="0.3">
      <c r="M82" s="94">
        <v>1</v>
      </c>
      <c r="N82" s="95">
        <v>1</v>
      </c>
    </row>
    <row r="83" spans="13:14" x14ac:dyDescent="0.3">
      <c r="M83" s="96">
        <v>2</v>
      </c>
      <c r="N83" s="97">
        <v>1.22</v>
      </c>
    </row>
    <row r="84" spans="13:14" x14ac:dyDescent="0.3">
      <c r="M84" s="96">
        <v>3</v>
      </c>
      <c r="N84" s="98">
        <v>1</v>
      </c>
    </row>
    <row r="85" spans="13:14" x14ac:dyDescent="0.3">
      <c r="M85" s="96">
        <v>4</v>
      </c>
      <c r="N85" s="98">
        <v>1.44</v>
      </c>
    </row>
    <row r="86" spans="13:14" x14ac:dyDescent="0.3">
      <c r="M86" s="96">
        <v>5</v>
      </c>
      <c r="N86" s="97">
        <v>1.44</v>
      </c>
    </row>
    <row r="87" spans="13:14" x14ac:dyDescent="0.3">
      <c r="M87" s="96">
        <v>6</v>
      </c>
      <c r="N87" s="97">
        <v>1.56</v>
      </c>
    </row>
    <row r="88" spans="13:14" x14ac:dyDescent="0.3">
      <c r="M88" s="96">
        <v>7</v>
      </c>
      <c r="N88" s="97">
        <v>1.44</v>
      </c>
    </row>
    <row r="89" spans="13:14" ht="15" thickBot="1" x14ac:dyDescent="0.35">
      <c r="M89" s="99" t="s">
        <v>162</v>
      </c>
      <c r="N89" s="100">
        <v>1</v>
      </c>
    </row>
  </sheetData>
  <sheetProtection selectLockedCells="1" selectUnlockedCells="1"/>
  <mergeCells count="11">
    <mergeCell ref="N78:O78"/>
    <mergeCell ref="N76:O76"/>
    <mergeCell ref="N77:O77"/>
    <mergeCell ref="N68:O68"/>
    <mergeCell ref="N69:O69"/>
    <mergeCell ref="N70:O70"/>
    <mergeCell ref="N71:O71"/>
    <mergeCell ref="N72:O72"/>
    <mergeCell ref="N75:O75"/>
    <mergeCell ref="N73:O73"/>
    <mergeCell ref="N74:O7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ITS Maintenance</vt:lpstr>
      <vt:lpstr>Rates</vt:lpstr>
      <vt:lpstr>'ITS Maintenance'!Print_Area</vt:lpstr>
      <vt:lpstr>'ITS Maintenance'!Print_Titles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Yusef Eses</dc:creator>
  <cp:lastModifiedBy>Yusef El-Eses</cp:lastModifiedBy>
  <cp:lastPrinted>2017-02-02T13:46:36Z</cp:lastPrinted>
  <dcterms:created xsi:type="dcterms:W3CDTF">2017-01-17T20:18:22Z</dcterms:created>
  <dcterms:modified xsi:type="dcterms:W3CDTF">2018-09-20T15:27:49Z</dcterms:modified>
</cp:coreProperties>
</file>